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26" windowWidth="15180" windowHeight="4950" activeTab="4"/>
  </bookViews>
  <sheets>
    <sheet name="Informations" sheetId="1" r:id="rId1"/>
    <sheet name="Besoin en eau agriculture" sheetId="2" r:id="rId2"/>
    <sheet name="Besoin Equivalent habitants" sheetId="3" r:id="rId3"/>
    <sheet name="Offre en eau" sheetId="4" r:id="rId4"/>
    <sheet name="Offre et Besoin Actuel" sheetId="5" r:id="rId5"/>
    <sheet name="Offre et  Besoin Futur " sheetId="6" r:id="rId6"/>
  </sheets>
  <definedNames>
    <definedName name="_xlnm.Print_Area" localSheetId="3">'Offre en eau'!$B$2:$R$30</definedName>
  </definedNames>
  <calcPr fullCalcOnLoad="1"/>
</workbook>
</file>

<file path=xl/sharedStrings.xml><?xml version="1.0" encoding="utf-8"?>
<sst xmlns="http://schemas.openxmlformats.org/spreadsheetml/2006/main" count="410" uniqueCount="130">
  <si>
    <t>conductivité hydraulique à saturation Ks =</t>
  </si>
  <si>
    <t>[m/s]</t>
  </si>
  <si>
    <t>teta CR =</t>
  </si>
  <si>
    <t>[-]</t>
  </si>
  <si>
    <t>puissance de la nappe H =</t>
  </si>
  <si>
    <t>[m]</t>
  </si>
  <si>
    <t>teta FP =</t>
  </si>
  <si>
    <t>h =</t>
  </si>
  <si>
    <t>profondeur racinaire =</t>
  </si>
  <si>
    <t>rayon du puits r =</t>
  </si>
  <si>
    <t>RFU =</t>
  </si>
  <si>
    <t>[mm]</t>
  </si>
  <si>
    <t>EqH =</t>
  </si>
  <si>
    <t>rayon d'action du puits R =</t>
  </si>
  <si>
    <t>surface =</t>
  </si>
  <si>
    <t>[ha]</t>
  </si>
  <si>
    <t>consommation/EqH =</t>
  </si>
  <si>
    <t>[l/j]</t>
  </si>
  <si>
    <t>nombre de puits n =</t>
  </si>
  <si>
    <t>efficience réseau =</t>
  </si>
  <si>
    <t>mois</t>
  </si>
  <si>
    <t>jours / mois</t>
  </si>
  <si>
    <t>pluie
EFFICACE</t>
  </si>
  <si>
    <t>ET
maïs</t>
  </si>
  <si>
    <t>Pe - ET maïs</t>
  </si>
  <si>
    <t>RFU</t>
  </si>
  <si>
    <t>apport par
irrigation</t>
  </si>
  <si>
    <t>coefficient
saisonnier</t>
  </si>
  <si>
    <t>habitants</t>
  </si>
  <si>
    <t>industrie</t>
  </si>
  <si>
    <t>consommation
totale EqH</t>
  </si>
  <si>
    <t>apport pour
agriculture</t>
  </si>
  <si>
    <t>soutirage nappe -
consommation EqH</t>
  </si>
  <si>
    <t>soutirage rivière
TOTAL</t>
  </si>
  <si>
    <t>soustirage POSSIBLE
ou IMPOSSIBLE</t>
  </si>
  <si>
    <t>[m3]</t>
  </si>
  <si>
    <t>[m3/s]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</si>
  <si>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</si>
  <si>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</si>
  <si>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</si>
  <si>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</si>
  <si>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</si>
  <si>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</si>
  <si>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</si>
  <si>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</si>
  <si>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</si>
  <si>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</si>
  <si>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</si>
  <si>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</si>
  <si>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coefficient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</si>
  <si>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t>[mm/mois]</t>
  </si>
  <si>
    <t>Pluie moyenne</t>
  </si>
  <si>
    <t>ETo</t>
  </si>
  <si>
    <t>Kc maïs</t>
  </si>
  <si>
    <t>Kc pdt</t>
  </si>
  <si>
    <t>ET
PdT</t>
  </si>
  <si>
    <t>Pe - ET PdT</t>
  </si>
  <si>
    <t>apport par
irrigation Total</t>
  </si>
  <si>
    <t>Besoin eau potable - situation actuelle</t>
  </si>
  <si>
    <t>Offre en eau  (nappe et rivière) - situation actuelle avec 2 puits</t>
  </si>
  <si>
    <t>coefficients de Pardé</t>
  </si>
  <si>
    <t>débit moyen annuel</t>
  </si>
  <si>
    <t>débit moyen mensuel</t>
  </si>
  <si>
    <t>Q347</t>
  </si>
  <si>
    <t>Qmin</t>
  </si>
  <si>
    <t>[m3/s ]</t>
  </si>
  <si>
    <t xml:space="preserve">débit moyen annuel: </t>
  </si>
  <si>
    <t>feuilles</t>
  </si>
  <si>
    <t>Informations</t>
  </si>
  <si>
    <t>selon LEaux</t>
  </si>
  <si>
    <t>Besoin en eau agriculture</t>
  </si>
  <si>
    <t xml:space="preserve">Offre en eau </t>
  </si>
  <si>
    <t>Offre et demande</t>
  </si>
  <si>
    <t>feuilles de calcul pour calculer le besoin eau potable - situation actuelle</t>
  </si>
  <si>
    <t>feuilles de calcul pour calculer le besoin en eau pour l'irrigation - situation actuelle</t>
  </si>
  <si>
    <t>feuilles de calcul pour calculer Offre eau nappe et rivière- situation actuelle</t>
  </si>
  <si>
    <t>Adéquation offre et demande</t>
  </si>
  <si>
    <t>Calcul à formuler</t>
  </si>
  <si>
    <t>a</t>
  </si>
  <si>
    <t>b</t>
  </si>
  <si>
    <t>Qmin=aQ347+b</t>
  </si>
  <si>
    <t>Surplus!</t>
  </si>
  <si>
    <t xml:space="preserve">
consommation EqH</t>
  </si>
  <si>
    <t>Si augmentation de la population, sans rien changer…</t>
  </si>
  <si>
    <t>1)</t>
  </si>
  <si>
    <t>2)</t>
  </si>
  <si>
    <t>Si prélèvement de la nappe sur à 3 puits (Q= 0.31 &lt;0.4 m3/s)  :</t>
  </si>
  <si>
    <t>Possible toute l'année en respectant toutes les contraintes</t>
  </si>
  <si>
    <t>téta CR =</t>
  </si>
  <si>
    <t>téta FP =</t>
  </si>
  <si>
    <t>Offre et  Besoin Futur</t>
  </si>
  <si>
    <t>Test de scénarios futur...</t>
  </si>
  <si>
    <t>Données de l'exercice</t>
  </si>
  <si>
    <t>Besoin Équivalents Habitants</t>
  </si>
  <si>
    <t>3)</t>
  </si>
  <si>
    <t>4)</t>
  </si>
  <si>
    <t>Si prélèvement de la nappe sur à 3 puits (Q= 0.31 &lt;0.4 m3/s)  et 800 ha de Mais (sans changer Pdt a 400ha):</t>
  </si>
  <si>
    <t>5)</t>
  </si>
  <si>
    <t>Possible toute l'année avec une limite sur la contrainte liée a la nappe</t>
  </si>
  <si>
    <t>Impossible d'irriguer en juillet  quand il le faudrait!!!</t>
  </si>
  <si>
    <t>Si prélèvement de la nappe sur à 3 puits (Q= 0.31 &lt;0.4 m3/s)  et 450 ha de pommes de Terre  (sans changer Mais à 700 ha):</t>
  </si>
  <si>
    <t>Si prélèvement de la nappe sur 4 puits (Q= 0.41 limite  de la contrainte de 0.4 m3/s proposée par les autorité)  et 1100 ha de Mais (sans changer Pdt a 400ha):</t>
  </si>
  <si>
    <t>soutirage
nappe possible</t>
  </si>
  <si>
    <t>soutirage
admissible rivière</t>
  </si>
  <si>
    <t>soutirage POSSIBLE
ou IMPOSSIBLE</t>
  </si>
  <si>
    <t>On peut jouer … et changer certains des paramètres...</t>
  </si>
  <si>
    <t>coefficient  pour calcul pluie efficace =</t>
  </si>
  <si>
    <t>Population  =</t>
  </si>
  <si>
    <t>[EqH]</t>
  </si>
  <si>
    <t>consommation par EqH =</t>
  </si>
  <si>
    <t>Industrie  =</t>
  </si>
  <si>
    <t>Satisfaction des besoins population</t>
  </si>
  <si>
    <t>Besoin pour
agriculture</t>
  </si>
  <si>
    <t xml:space="preserve">
Besoin consommation EqH</t>
  </si>
  <si>
    <t>Demande</t>
  </si>
  <si>
    <t>Offre totale</t>
  </si>
  <si>
    <t>Bilan offre/demande irrigation</t>
  </si>
  <si>
    <t>Besoin en eau pour l'agriculture -situation future</t>
  </si>
  <si>
    <t>Besoin eau potable - situation future</t>
  </si>
  <si>
    <t>Offre en eau  (nappe et rivière) - situation Fuiture  avec n puits</t>
  </si>
  <si>
    <t>Contrainte sur Q mappe</t>
  </si>
  <si>
    <t>Volume habitants</t>
  </si>
  <si>
    <t>Volume industrie</t>
  </si>
  <si>
    <t>Lu sur la courbe débits classés</t>
  </si>
  <si>
    <t>Débit  puits  &lt;0.4 m3/s</t>
  </si>
  <si>
    <t>oui/non?</t>
  </si>
  <si>
    <t>Satisfaction des besoins pop+indus</t>
  </si>
  <si>
    <t>Besoin en eau pour l'agriculture - situation actuelle - Maïs</t>
  </si>
  <si>
    <t>Besoin en eau pour l'agriculture - situation actuelle - Pommes de Terre</t>
  </si>
  <si>
    <t>Offre et demande pour la situation actuelle avec 2 puits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</si>
</sst>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d/mm/yyyy\ hh:mm"/>
    <numFmt numFmtId="181" formatCode="d/mm/yy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#,##0.00_ ;\-#,##0.00\ "/>
    <numFmt numFmtId="190" formatCode="#,##0.0_ ;\-#,##0.0\ "/>
    <numFmt numFmtId="191" formatCode="#,##0.000_ ;\-#,##0.000\ "/>
    <numFmt numFmtId="192" formatCode="d/m/yy\ h:mm"/>
    <numFmt numFmtId="193" formatCode="d/m"/>
    <numFmt numFmtId="194" formatCode="mmm"/>
    <numFmt numFmtId="195" formatCode="#,##0.0000_ ;\-#,##0.0000\ "/>
    <numFmt numFmtId="196" formatCode="#,##0_ ;\-#,##0\ "/>
    <numFmt numFmtId="197" formatCode="0.0000000000"/>
    <numFmt numFmtId="198" formatCode="d\-mmm"/>
    <numFmt numFmtId="199" formatCode="0.00000000000"/>
    <numFmt numFmtId="200" formatCode="0.000000000000"/>
    <numFmt numFmtId="201" formatCode="0.0000000000000"/>
    <numFmt numFmtId="202" formatCode="d/mm/yyyy\ h:mm"/>
    <numFmt numFmtId="203" formatCode="0.0E+00"/>
    <numFmt numFmtId="204" formatCode="#,##0.0"/>
    <numFmt numFmtId="205" formatCode="#,##0.000"/>
    <numFmt numFmtId="206" formatCode="#,##0.0000"/>
    <numFmt numFmtId="207" formatCode="#,##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20">
    <font>
      <sz val="10"/>
      <name val="Arial"/>
      <family val="0"/>
    </font>
    <font>
      <sz val="9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03" fontId="0" fillId="2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75" fontId="0" fillId="2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3" fontId="0" fillId="0" borderId="0" xfId="0" applyNumberFormat="1" applyFill="1" applyAlignment="1">
      <alignment horizontal="center"/>
    </xf>
    <xf numFmtId="175" fontId="0" fillId="2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20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" fontId="1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2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204" fontId="0" fillId="3" borderId="0" xfId="0" applyNumberFormat="1" applyFill="1" applyBorder="1" applyAlignment="1">
      <alignment horizontal="center"/>
    </xf>
    <xf numFmtId="204" fontId="0" fillId="0" borderId="0" xfId="0" applyNumberFormat="1" applyAlignment="1">
      <alignment/>
    </xf>
    <xf numFmtId="204" fontId="0" fillId="2" borderId="0" xfId="0" applyNumberFormat="1" applyFill="1" applyBorder="1" applyAlignment="1">
      <alignment horizontal="center"/>
    </xf>
    <xf numFmtId="204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0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l de l'ET selon Penman et Penman-Monteith" xfId="21"/>
    <cellStyle name="Percent" xfId="22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76200</xdr:rowOff>
    </xdr:from>
    <xdr:to>
      <xdr:col>8</xdr:col>
      <xdr:colOff>104775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2877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</xdr:colOff>
      <xdr:row>9</xdr:row>
      <xdr:rowOff>76200</xdr:rowOff>
    </xdr:from>
    <xdr:to>
      <xdr:col>47</xdr:col>
      <xdr:colOff>104775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50925" y="1809750"/>
          <a:ext cx="1724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5"/>
  <sheetViews>
    <sheetView zoomScale="75" zoomScaleNormal="75" workbookViewId="0" topLeftCell="A1">
      <selection activeCell="K45" sqref="K45"/>
    </sheetView>
  </sheetViews>
  <sheetFormatPr defaultColWidth="9.140625" defaultRowHeight="12.75"/>
  <sheetData>
    <row r="4" ht="20.25">
      <c r="B4" s="65" t="s">
        <v>68</v>
      </c>
    </row>
    <row r="7" spans="5:7" ht="12.75">
      <c r="E7" s="69"/>
      <c r="G7" t="s">
        <v>92</v>
      </c>
    </row>
    <row r="9" spans="5:7" ht="12.75">
      <c r="E9" s="70"/>
      <c r="G9" t="s">
        <v>77</v>
      </c>
    </row>
    <row r="13" ht="12.75">
      <c r="C13" s="66" t="s">
        <v>67</v>
      </c>
    </row>
    <row r="17" spans="3:7" ht="12.75">
      <c r="C17" s="67" t="s">
        <v>70</v>
      </c>
      <c r="G17" s="67" t="s">
        <v>74</v>
      </c>
    </row>
    <row r="18" ht="12.75">
      <c r="C18" s="67"/>
    </row>
    <row r="19" ht="12.75">
      <c r="C19" s="67"/>
    </row>
    <row r="20" spans="3:7" ht="12.75">
      <c r="C20" s="67" t="s">
        <v>93</v>
      </c>
      <c r="G20" s="67" t="s">
        <v>73</v>
      </c>
    </row>
    <row r="21" ht="12.75">
      <c r="C21" s="67"/>
    </row>
    <row r="22" ht="12.75">
      <c r="C22" s="67"/>
    </row>
    <row r="23" spans="3:7" ht="12.75">
      <c r="C23" s="67" t="s">
        <v>71</v>
      </c>
      <c r="G23" s="67" t="s">
        <v>75</v>
      </c>
    </row>
    <row r="24" ht="12.75">
      <c r="C24" s="67"/>
    </row>
    <row r="25" ht="12.75">
      <c r="C25" s="67"/>
    </row>
    <row r="26" spans="3:7" ht="12.75">
      <c r="C26" s="67" t="s">
        <v>72</v>
      </c>
      <c r="G26" s="67" t="s">
        <v>76</v>
      </c>
    </row>
    <row r="27" ht="12.75">
      <c r="C27" s="67"/>
    </row>
    <row r="28" ht="12.75">
      <c r="C28" s="67"/>
    </row>
    <row r="29" spans="3:7" ht="12.75">
      <c r="C29" s="67" t="s">
        <v>90</v>
      </c>
      <c r="G29" s="67" t="s">
        <v>91</v>
      </c>
    </row>
    <row r="32" ht="12.75">
      <c r="C32" s="67"/>
    </row>
    <row r="35" ht="12.75">
      <c r="C3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AV61"/>
  <sheetViews>
    <sheetView workbookViewId="0" topLeftCell="O1">
      <selection activeCell="AB1" sqref="AB1:AD16384"/>
    </sheetView>
  </sheetViews>
  <sheetFormatPr defaultColWidth="9.140625" defaultRowHeight="12.75"/>
  <cols>
    <col min="2" max="2" width="9.8515625" style="0" customWidth="1"/>
    <col min="3" max="3" width="11.7109375" style="0" bestFit="1" customWidth="1"/>
    <col min="4" max="4" width="2.7109375" style="0" customWidth="1"/>
    <col min="5" max="5" width="4.7109375" style="0" customWidth="1"/>
    <col min="6" max="6" width="2.7109375" style="0" customWidth="1"/>
    <col min="7" max="7" width="10.421875" style="0" customWidth="1"/>
    <col min="8" max="8" width="12.140625" style="0" bestFit="1" customWidth="1"/>
    <col min="9" max="11" width="9.421875" style="0" customWidth="1"/>
    <col min="12" max="12" width="9.421875" style="0" bestFit="1" customWidth="1"/>
    <col min="13" max="13" width="4.140625" style="1" customWidth="1"/>
    <col min="14" max="16" width="10.7109375" style="0" customWidth="1"/>
    <col min="17" max="17" width="4.7109375" style="1" customWidth="1"/>
    <col min="18" max="18" width="11.7109375" style="0" bestFit="1" customWidth="1"/>
    <col min="19" max="19" width="2.7109375" style="0" customWidth="1"/>
    <col min="20" max="20" width="4.7109375" style="0" customWidth="1"/>
    <col min="21" max="21" width="9.421875" style="1" customWidth="1"/>
    <col min="22" max="22" width="10.00390625" style="1" bestFit="1" customWidth="1"/>
    <col min="23" max="23" width="11.28125" style="1" customWidth="1"/>
    <col min="24" max="24" width="9.421875" style="1" customWidth="1"/>
    <col min="25" max="26" width="11.57421875" style="1" bestFit="1" customWidth="1"/>
    <col min="27" max="27" width="10.00390625" style="1" customWidth="1"/>
    <col min="28" max="28" width="9.140625" style="1" customWidth="1"/>
    <col min="29" max="29" width="13.00390625" style="1" customWidth="1"/>
    <col min="30" max="30" width="10.57421875" style="1" customWidth="1"/>
    <col min="31" max="31" width="2.7109375" style="1" customWidth="1"/>
    <col min="32" max="32" width="14.7109375" style="1" customWidth="1"/>
    <col min="33" max="33" width="10.00390625" style="1" customWidth="1"/>
    <col min="34" max="34" width="2.7109375" style="1" customWidth="1"/>
    <col min="35" max="35" width="16.28125" style="1" bestFit="1" customWidth="1"/>
    <col min="36" max="37" width="9.140625" style="1" customWidth="1"/>
    <col min="38" max="39" width="12.00390625" style="1" bestFit="1" customWidth="1"/>
    <col min="40" max="40" width="9.140625" style="1" customWidth="1"/>
    <col min="41" max="41" width="13.140625" style="1" bestFit="1" customWidth="1"/>
    <col min="42" max="42" width="21.28125" style="1" bestFit="1" customWidth="1"/>
    <col min="43" max="43" width="9.140625" style="1" customWidth="1"/>
    <col min="44" max="44" width="18.8515625" style="1" bestFit="1" customWidth="1"/>
    <col min="45" max="45" width="2.7109375" style="1" customWidth="1"/>
    <col min="46" max="46" width="18.8515625" style="1" bestFit="1" customWidth="1"/>
    <col min="47" max="47" width="2.7109375" style="1" customWidth="1"/>
    <col min="48" max="48" width="23.140625" style="1" bestFit="1" customWidth="1"/>
  </cols>
  <sheetData>
    <row r="2" spans="2:21" ht="20.25">
      <c r="B2" s="2" t="s">
        <v>127</v>
      </c>
      <c r="U2" s="2" t="s">
        <v>128</v>
      </c>
    </row>
    <row r="3" spans="37:38" ht="12.75">
      <c r="AK3" s="41"/>
      <c r="AL3" s="42"/>
    </row>
    <row r="4" spans="14:38" ht="12.75">
      <c r="N4" s="5" t="s">
        <v>88</v>
      </c>
      <c r="O4" s="6">
        <v>0.23</v>
      </c>
      <c r="P4" s="7" t="s">
        <v>3</v>
      </c>
      <c r="Q4" s="8"/>
      <c r="U4" s="8"/>
      <c r="W4" s="43"/>
      <c r="Y4" s="5" t="s">
        <v>2</v>
      </c>
      <c r="Z4" s="6">
        <v>0.23</v>
      </c>
      <c r="AA4" s="7" t="s">
        <v>3</v>
      </c>
      <c r="AB4" s="8"/>
      <c r="AK4" s="41"/>
      <c r="AL4" s="44"/>
    </row>
    <row r="5" spans="12:48" ht="12.75">
      <c r="L5" s="10"/>
      <c r="M5" s="45"/>
      <c r="N5" s="5" t="s">
        <v>89</v>
      </c>
      <c r="O5" s="6">
        <v>0.15</v>
      </c>
      <c r="P5" s="7" t="s">
        <v>3</v>
      </c>
      <c r="Q5" s="8"/>
      <c r="U5" s="8"/>
      <c r="V5" s="45"/>
      <c r="W5" s="43"/>
      <c r="X5" s="45"/>
      <c r="Y5" s="5" t="s">
        <v>6</v>
      </c>
      <c r="Z5" s="6">
        <v>0.15</v>
      </c>
      <c r="AA5" s="7" t="s">
        <v>3</v>
      </c>
      <c r="AB5" s="8"/>
      <c r="AC5" s="45"/>
      <c r="AD5" s="45"/>
      <c r="AE5" s="45"/>
      <c r="AF5" s="45"/>
      <c r="AG5" s="45"/>
      <c r="AH5" s="45"/>
      <c r="AI5" s="45"/>
      <c r="AJ5" s="45"/>
      <c r="AK5" s="41"/>
      <c r="AL5" s="44"/>
      <c r="AN5" s="11"/>
      <c r="AO5" s="45"/>
      <c r="AP5" s="45"/>
      <c r="AQ5" s="45"/>
      <c r="AR5" s="45"/>
      <c r="AS5" s="45"/>
      <c r="AV5" s="11"/>
    </row>
    <row r="6" spans="14:38" ht="12.75">
      <c r="N6" s="5" t="s">
        <v>8</v>
      </c>
      <c r="O6" s="12">
        <v>0.8</v>
      </c>
      <c r="P6" s="7" t="s">
        <v>5</v>
      </c>
      <c r="Q6" s="8"/>
      <c r="U6" s="8"/>
      <c r="W6" s="43"/>
      <c r="Y6" s="5" t="s">
        <v>8</v>
      </c>
      <c r="Z6" s="12">
        <v>0.4</v>
      </c>
      <c r="AA6" s="7" t="s">
        <v>5</v>
      </c>
      <c r="AB6" s="8"/>
      <c r="AK6" s="41"/>
      <c r="AL6" s="44"/>
    </row>
    <row r="7" spans="14:45" ht="12.75">
      <c r="N7" s="5" t="s">
        <v>10</v>
      </c>
      <c r="O7" s="85">
        <f>O6*(O4-O5)*2/3*1000</f>
        <v>42.66666666666668</v>
      </c>
      <c r="P7" s="7" t="s">
        <v>11</v>
      </c>
      <c r="W7" s="43"/>
      <c r="Y7" s="5" t="s">
        <v>10</v>
      </c>
      <c r="Z7" s="13">
        <f>Z6*(Z4-Z5)*2/3*1000</f>
        <v>21.33333333333334</v>
      </c>
      <c r="AA7" s="7" t="s">
        <v>11</v>
      </c>
      <c r="AC7" s="43"/>
      <c r="AD7" s="11"/>
      <c r="AF7" s="43"/>
      <c r="AG7" s="11"/>
      <c r="AI7" s="45"/>
      <c r="AJ7" s="45"/>
      <c r="AK7" s="41"/>
      <c r="AL7" s="44"/>
      <c r="AO7" s="45"/>
      <c r="AP7" s="45"/>
      <c r="AQ7" s="45"/>
      <c r="AR7" s="45"/>
      <c r="AS7" s="45"/>
    </row>
    <row r="8" spans="25:32" ht="12.75">
      <c r="Y8"/>
      <c r="Z8"/>
      <c r="AA8"/>
      <c r="AC8" s="46"/>
      <c r="AF8" s="46"/>
    </row>
    <row r="9" spans="7:38" ht="12.75">
      <c r="G9" s="3" t="s">
        <v>106</v>
      </c>
      <c r="H9" s="16">
        <v>0.9</v>
      </c>
      <c r="I9" t="s">
        <v>3</v>
      </c>
      <c r="N9" s="3" t="s">
        <v>14</v>
      </c>
      <c r="O9" s="14">
        <v>700</v>
      </c>
      <c r="P9" t="s">
        <v>15</v>
      </c>
      <c r="U9"/>
      <c r="Y9" s="3" t="s">
        <v>14</v>
      </c>
      <c r="Z9" s="14">
        <v>400</v>
      </c>
      <c r="AA9" t="s">
        <v>15</v>
      </c>
      <c r="AC9" s="43"/>
      <c r="AD9" s="33"/>
      <c r="AF9" s="43"/>
      <c r="AG9" s="33"/>
      <c r="AK9" s="41"/>
      <c r="AL9" s="33"/>
    </row>
    <row r="10" spans="16:26" ht="12.75">
      <c r="P10" s="1"/>
      <c r="Y10"/>
      <c r="Z10"/>
    </row>
    <row r="11" spans="25:30" ht="12.75">
      <c r="Y11"/>
      <c r="Z11" s="3"/>
      <c r="AA11"/>
      <c r="AB11" s="3" t="s">
        <v>19</v>
      </c>
      <c r="AC11" s="16">
        <v>0.8</v>
      </c>
      <c r="AD11" s="1" t="s">
        <v>3</v>
      </c>
    </row>
    <row r="12" spans="16:25" ht="12.75">
      <c r="P12" s="1"/>
      <c r="Y12" s="11"/>
    </row>
    <row r="14" spans="3:48" ht="38.25">
      <c r="C14" s="20" t="s">
        <v>20</v>
      </c>
      <c r="D14" s="20"/>
      <c r="E14" s="20" t="s">
        <v>21</v>
      </c>
      <c r="F14" s="20"/>
      <c r="G14" s="21" t="s">
        <v>51</v>
      </c>
      <c r="H14" s="21" t="s">
        <v>22</v>
      </c>
      <c r="I14" s="22"/>
      <c r="J14" s="22" t="s">
        <v>52</v>
      </c>
      <c r="K14" s="22" t="s">
        <v>53</v>
      </c>
      <c r="L14" s="21" t="s">
        <v>23</v>
      </c>
      <c r="M14" s="24"/>
      <c r="N14" s="21" t="s">
        <v>24</v>
      </c>
      <c r="O14" s="21" t="s">
        <v>25</v>
      </c>
      <c r="P14" s="21" t="s">
        <v>26</v>
      </c>
      <c r="Q14" s="47"/>
      <c r="R14" s="20" t="s">
        <v>20</v>
      </c>
      <c r="S14" s="20"/>
      <c r="T14" s="20" t="s">
        <v>21</v>
      </c>
      <c r="U14" s="22" t="s">
        <v>52</v>
      </c>
      <c r="V14" s="22" t="s">
        <v>54</v>
      </c>
      <c r="W14" s="21" t="s">
        <v>55</v>
      </c>
      <c r="X14" s="24"/>
      <c r="Y14" s="21" t="s">
        <v>56</v>
      </c>
      <c r="Z14" s="21" t="s">
        <v>25</v>
      </c>
      <c r="AA14" s="21" t="s">
        <v>26</v>
      </c>
      <c r="AB14" s="24"/>
      <c r="AC14" s="61" t="s">
        <v>57</v>
      </c>
      <c r="AD14" s="48"/>
      <c r="AE14" s="48"/>
      <c r="AF14" s="24"/>
      <c r="AG14" s="48"/>
      <c r="AH14" s="48"/>
      <c r="AI14" s="47"/>
      <c r="AJ14" s="24"/>
      <c r="AK14" s="48"/>
      <c r="AL14" s="24"/>
      <c r="AM14" s="24"/>
      <c r="AO14" s="47"/>
      <c r="AP14" s="47"/>
      <c r="AQ14" s="48"/>
      <c r="AR14" s="47"/>
      <c r="AS14" s="48"/>
      <c r="AT14" s="47"/>
      <c r="AV14" s="49"/>
    </row>
    <row r="15" spans="3:46" ht="12.75">
      <c r="C15" s="26"/>
      <c r="D15" s="26"/>
      <c r="E15" s="26"/>
      <c r="F15" s="26"/>
      <c r="G15" s="27" t="s">
        <v>50</v>
      </c>
      <c r="H15" s="27" t="s">
        <v>11</v>
      </c>
      <c r="I15" s="27"/>
      <c r="J15" s="27" t="s">
        <v>50</v>
      </c>
      <c r="K15" s="27" t="s">
        <v>3</v>
      </c>
      <c r="L15" s="27" t="s">
        <v>11</v>
      </c>
      <c r="M15" s="30"/>
      <c r="N15" s="27" t="s">
        <v>11</v>
      </c>
      <c r="O15" s="27" t="s">
        <v>11</v>
      </c>
      <c r="P15" s="28" t="s">
        <v>35</v>
      </c>
      <c r="Q15" s="50"/>
      <c r="R15" s="26"/>
      <c r="S15" s="26"/>
      <c r="T15" s="26"/>
      <c r="U15" s="27" t="s">
        <v>50</v>
      </c>
      <c r="V15" s="27" t="s">
        <v>3</v>
      </c>
      <c r="W15" s="27" t="s">
        <v>11</v>
      </c>
      <c r="X15" s="30"/>
      <c r="Y15" s="27" t="s">
        <v>11</v>
      </c>
      <c r="Z15" s="27" t="s">
        <v>11</v>
      </c>
      <c r="AA15" s="28" t="s">
        <v>35</v>
      </c>
      <c r="AB15" s="30"/>
      <c r="AC15" s="62" t="s">
        <v>35</v>
      </c>
      <c r="AD15" s="30"/>
      <c r="AF15" s="30"/>
      <c r="AG15" s="30"/>
      <c r="AH15" s="30"/>
      <c r="AI15" s="50"/>
      <c r="AJ15" s="30"/>
      <c r="AL15" s="30"/>
      <c r="AM15" s="30"/>
      <c r="AO15" s="50"/>
      <c r="AP15" s="50"/>
      <c r="AR15" s="50"/>
      <c r="AT15" s="50"/>
    </row>
    <row r="16" spans="3:29" ht="12.75">
      <c r="C16" s="20"/>
      <c r="D16" s="20"/>
      <c r="E16" s="20"/>
      <c r="F16" s="20"/>
      <c r="G16" s="27"/>
      <c r="J16" s="27"/>
      <c r="K16" s="27"/>
      <c r="N16" s="83"/>
      <c r="R16" s="20"/>
      <c r="S16" s="20"/>
      <c r="T16" s="20"/>
      <c r="U16" s="27"/>
      <c r="V16" s="27"/>
      <c r="W16"/>
      <c r="Y16"/>
      <c r="Z16"/>
      <c r="AA16"/>
      <c r="AC16"/>
    </row>
    <row r="17" spans="1:48" ht="12.75">
      <c r="A17" s="55"/>
      <c r="B17" s="55"/>
      <c r="C17" s="20" t="s">
        <v>37</v>
      </c>
      <c r="D17" s="20"/>
      <c r="E17" s="26">
        <v>31</v>
      </c>
      <c r="F17" s="20"/>
      <c r="G17" s="84">
        <v>58.5909090909091</v>
      </c>
      <c r="H17" s="82">
        <f>G17*$H$9</f>
        <v>52.73181818181819</v>
      </c>
      <c r="I17" s="58"/>
      <c r="J17" s="84">
        <v>19.230287529841807</v>
      </c>
      <c r="K17" s="59">
        <v>0.1</v>
      </c>
      <c r="L17" s="82">
        <f>J17*K17</f>
        <v>1.9230287529841807</v>
      </c>
      <c r="M17" s="58"/>
      <c r="N17" s="82">
        <f>H17-L17</f>
        <v>50.80878942883401</v>
      </c>
      <c r="O17" s="82">
        <f>IF(OR(OR(AND(N17&gt;=0,O16&gt;0),O16=""),N17&gt;$O$7),$O$7,IF(N17+O16&gt;=0,N17+O16,0))</f>
        <v>42.66666666666668</v>
      </c>
      <c r="P17" s="13">
        <f>IF(O17&gt;0,0,ABS(N17+O16)/1000*$O$9*10000)</f>
        <v>0</v>
      </c>
      <c r="Q17" s="58"/>
      <c r="R17" s="20" t="s">
        <v>37</v>
      </c>
      <c r="S17" s="20"/>
      <c r="T17" s="26">
        <v>31</v>
      </c>
      <c r="U17" s="56">
        <v>19.230287529841807</v>
      </c>
      <c r="V17" s="59">
        <v>0.1</v>
      </c>
      <c r="W17" s="54">
        <f>U17*V17</f>
        <v>1.9230287529841807</v>
      </c>
      <c r="X17" s="58"/>
      <c r="Y17" s="54">
        <f>H17-W17</f>
        <v>50.80878942883401</v>
      </c>
      <c r="Z17" s="54">
        <f>IF(OR(OR(AND(Y17&gt;=0,Z16&gt;0),Z16=""),Y17&gt;$Z$7),$Z$7,IF(Y17+Z16&gt;=0,Y17+Z16,0))</f>
        <v>21.33333333333334</v>
      </c>
      <c r="AA17" s="13">
        <f>IF(Z17&gt;0,0,ABS(Y17+Z16)/1000*$Z$9*10000)</f>
        <v>0</v>
      </c>
      <c r="AB17" s="60"/>
      <c r="AC17" s="71">
        <f>(AA17+P17)/$AC$11</f>
        <v>0</v>
      </c>
      <c r="AD17" s="11"/>
      <c r="AF17" s="44"/>
      <c r="AG17" s="11"/>
      <c r="AI17" s="11"/>
      <c r="AK17" s="33"/>
      <c r="AL17" s="51"/>
      <c r="AM17" s="11"/>
      <c r="AO17" s="11"/>
      <c r="AP17" s="11"/>
      <c r="AQ17" s="33"/>
      <c r="AR17" s="11"/>
      <c r="AS17" s="33"/>
      <c r="AT17" s="11"/>
      <c r="AV17" s="52"/>
    </row>
    <row r="18" spans="1:48" ht="12.75">
      <c r="A18" s="55"/>
      <c r="B18" s="55"/>
      <c r="C18" s="20" t="s">
        <v>38</v>
      </c>
      <c r="D18" s="20"/>
      <c r="E18" s="26">
        <v>28</v>
      </c>
      <c r="F18" s="20"/>
      <c r="G18" s="84">
        <v>52.286363636363625</v>
      </c>
      <c r="H18" s="82">
        <f aca="true" t="shared" si="0" ref="H18:H28">G18*$H$9</f>
        <v>47.05772727272726</v>
      </c>
      <c r="I18" s="58"/>
      <c r="J18" s="84">
        <v>26.316664007097767</v>
      </c>
      <c r="K18" s="59">
        <v>0.1</v>
      </c>
      <c r="L18" s="82">
        <f aca="true" t="shared" si="1" ref="L18:L28">J18*K18</f>
        <v>2.631666400709777</v>
      </c>
      <c r="M18" s="58"/>
      <c r="N18" s="82">
        <f aca="true" t="shared" si="2" ref="N18:N28">H18-L18</f>
        <v>44.42606087201749</v>
      </c>
      <c r="O18" s="82">
        <f aca="true" t="shared" si="3" ref="O18:O28">IF(OR(OR(AND(N18&gt;=0,O17&gt;0),O17=""),N18&gt;$O$7),$O$7,IF(N18+O17&gt;=0,N18+O17,0))</f>
        <v>42.66666666666668</v>
      </c>
      <c r="P18" s="13">
        <f aca="true" t="shared" si="4" ref="P18:P28">IF(O18&gt;0,0,ABS(N18+O17)/1000*$O$9*10000)</f>
        <v>0</v>
      </c>
      <c r="Q18" s="58"/>
      <c r="R18" s="20" t="s">
        <v>38</v>
      </c>
      <c r="S18" s="20"/>
      <c r="T18" s="26">
        <v>28</v>
      </c>
      <c r="U18" s="56">
        <v>26.316664007097767</v>
      </c>
      <c r="V18" s="59">
        <v>0.1</v>
      </c>
      <c r="W18" s="54">
        <f aca="true" t="shared" si="5" ref="W18:W28">U18*V18</f>
        <v>2.631666400709777</v>
      </c>
      <c r="X18" s="58"/>
      <c r="Y18" s="54">
        <f aca="true" t="shared" si="6" ref="Y18:Y28">H18-W18</f>
        <v>44.42606087201749</v>
      </c>
      <c r="Z18" s="54">
        <f aca="true" t="shared" si="7" ref="Z18:Z28">IF(OR(OR(AND(Y18&gt;=0,Z17&gt;0),Z17=""),Y18&gt;$Z$7),$Z$7,IF(Y18+Z17&gt;=0,Y18+Z17,0))</f>
        <v>21.33333333333334</v>
      </c>
      <c r="AA18" s="13">
        <f aca="true" t="shared" si="8" ref="AA18:AA28">IF(Z18&gt;0,0,ABS(Y18+Z17)/1000*$Z$9*10000)</f>
        <v>0</v>
      </c>
      <c r="AB18" s="60"/>
      <c r="AC18" s="71">
        <f aca="true" t="shared" si="9" ref="AC18:AC28">(AA18+P18)/$AC$11</f>
        <v>0</v>
      </c>
      <c r="AD18" s="11"/>
      <c r="AF18" s="44"/>
      <c r="AG18" s="11"/>
      <c r="AI18" s="11"/>
      <c r="AK18" s="33"/>
      <c r="AL18" s="51"/>
      <c r="AM18" s="11"/>
      <c r="AO18" s="11"/>
      <c r="AP18" s="11"/>
      <c r="AQ18" s="33"/>
      <c r="AR18" s="11"/>
      <c r="AS18" s="33"/>
      <c r="AT18" s="11"/>
      <c r="AV18" s="52"/>
    </row>
    <row r="19" spans="1:48" ht="12.75">
      <c r="A19" s="55"/>
      <c r="B19" s="55"/>
      <c r="C19" s="20" t="s">
        <v>39</v>
      </c>
      <c r="D19" s="20"/>
      <c r="E19" s="26">
        <v>31</v>
      </c>
      <c r="F19" s="20"/>
      <c r="G19" s="84">
        <v>56.55</v>
      </c>
      <c r="H19" s="82">
        <f t="shared" si="0"/>
        <v>50.894999999999996</v>
      </c>
      <c r="I19" s="58"/>
      <c r="J19" s="84">
        <v>55.22784120902465</v>
      </c>
      <c r="K19" s="59">
        <v>0.1</v>
      </c>
      <c r="L19" s="82">
        <f t="shared" si="1"/>
        <v>5.5227841209024655</v>
      </c>
      <c r="M19" s="58"/>
      <c r="N19" s="82">
        <f t="shared" si="2"/>
        <v>45.37221587909753</v>
      </c>
      <c r="O19" s="82">
        <f t="shared" si="3"/>
        <v>42.66666666666668</v>
      </c>
      <c r="P19" s="13">
        <f t="shared" si="4"/>
        <v>0</v>
      </c>
      <c r="Q19" s="58"/>
      <c r="R19" s="20" t="s">
        <v>39</v>
      </c>
      <c r="S19" s="20"/>
      <c r="T19" s="26">
        <v>31</v>
      </c>
      <c r="U19" s="56">
        <v>55.22784120902465</v>
      </c>
      <c r="V19" s="59">
        <v>0.1</v>
      </c>
      <c r="W19" s="54">
        <f t="shared" si="5"/>
        <v>5.5227841209024655</v>
      </c>
      <c r="X19" s="58"/>
      <c r="Y19" s="54">
        <f t="shared" si="6"/>
        <v>45.37221587909753</v>
      </c>
      <c r="Z19" s="54">
        <f t="shared" si="7"/>
        <v>21.33333333333334</v>
      </c>
      <c r="AA19" s="13">
        <f t="shared" si="8"/>
        <v>0</v>
      </c>
      <c r="AB19" s="60"/>
      <c r="AC19" s="71">
        <f t="shared" si="9"/>
        <v>0</v>
      </c>
      <c r="AD19" s="11"/>
      <c r="AF19" s="44"/>
      <c r="AG19" s="11"/>
      <c r="AI19" s="11"/>
      <c r="AK19" s="33"/>
      <c r="AL19" s="51"/>
      <c r="AM19" s="11"/>
      <c r="AO19" s="11"/>
      <c r="AP19" s="11"/>
      <c r="AQ19" s="33"/>
      <c r="AR19" s="11"/>
      <c r="AS19" s="33"/>
      <c r="AT19" s="11"/>
      <c r="AV19" s="52"/>
    </row>
    <row r="20" spans="1:48" ht="12.75">
      <c r="A20" s="55"/>
      <c r="B20" s="55"/>
      <c r="C20" s="20" t="s">
        <v>40</v>
      </c>
      <c r="D20" s="20"/>
      <c r="E20" s="26">
        <v>30</v>
      </c>
      <c r="F20" s="20"/>
      <c r="G20" s="84">
        <v>63.2090909090909</v>
      </c>
      <c r="H20" s="82">
        <f t="shared" si="0"/>
        <v>56.888181818181806</v>
      </c>
      <c r="I20" s="58"/>
      <c r="J20" s="84">
        <v>76.60300179278678</v>
      </c>
      <c r="K20" s="59">
        <v>0.3</v>
      </c>
      <c r="L20" s="82">
        <f t="shared" si="1"/>
        <v>22.980900537836035</v>
      </c>
      <c r="M20" s="58"/>
      <c r="N20" s="82">
        <f t="shared" si="2"/>
        <v>33.90728128034577</v>
      </c>
      <c r="O20" s="82">
        <f>IF(OR(OR(AND(N20&gt;=0,O19&gt;0),O19=""),N20&gt;$O$7),$O$7,IF(N20+O19&gt;=0,N20+O19,0))</f>
        <v>42.66666666666668</v>
      </c>
      <c r="P20" s="13">
        <f t="shared" si="4"/>
        <v>0</v>
      </c>
      <c r="Q20" s="58"/>
      <c r="R20" s="20" t="s">
        <v>40</v>
      </c>
      <c r="S20" s="20"/>
      <c r="T20" s="26">
        <v>30</v>
      </c>
      <c r="U20" s="56">
        <v>76.60300179278678</v>
      </c>
      <c r="V20" s="59">
        <v>0.5</v>
      </c>
      <c r="W20" s="54">
        <f t="shared" si="5"/>
        <v>38.30150089639339</v>
      </c>
      <c r="X20" s="58"/>
      <c r="Y20" s="54">
        <f t="shared" si="6"/>
        <v>18.586680921788414</v>
      </c>
      <c r="Z20" s="54">
        <f t="shared" si="7"/>
        <v>21.33333333333334</v>
      </c>
      <c r="AA20" s="13">
        <f t="shared" si="8"/>
        <v>0</v>
      </c>
      <c r="AB20" s="60"/>
      <c r="AC20" s="71">
        <f t="shared" si="9"/>
        <v>0</v>
      </c>
      <c r="AD20" s="11"/>
      <c r="AF20" s="44"/>
      <c r="AG20" s="11"/>
      <c r="AI20" s="11"/>
      <c r="AK20" s="33"/>
      <c r="AL20" s="51"/>
      <c r="AM20" s="11"/>
      <c r="AO20" s="11"/>
      <c r="AP20" s="11"/>
      <c r="AQ20" s="33"/>
      <c r="AR20" s="11"/>
      <c r="AS20" s="33"/>
      <c r="AT20" s="11"/>
      <c r="AV20" s="52"/>
    </row>
    <row r="21" spans="1:48" ht="12.75">
      <c r="A21" s="55"/>
      <c r="B21" s="55"/>
      <c r="C21" s="20" t="s">
        <v>41</v>
      </c>
      <c r="D21" s="20"/>
      <c r="E21" s="26">
        <v>31</v>
      </c>
      <c r="F21" s="20"/>
      <c r="G21" s="84">
        <v>91.04545454545456</v>
      </c>
      <c r="H21" s="82">
        <f t="shared" si="0"/>
        <v>81.9409090909091</v>
      </c>
      <c r="I21" s="58"/>
      <c r="J21" s="84">
        <v>106.19169702768305</v>
      </c>
      <c r="K21" s="59">
        <v>0.6</v>
      </c>
      <c r="L21" s="82">
        <f t="shared" si="1"/>
        <v>63.71501821660983</v>
      </c>
      <c r="M21" s="58"/>
      <c r="N21" s="82">
        <f t="shared" si="2"/>
        <v>18.225890874299274</v>
      </c>
      <c r="O21" s="82">
        <f t="shared" si="3"/>
        <v>42.66666666666668</v>
      </c>
      <c r="P21" s="13">
        <f t="shared" si="4"/>
        <v>0</v>
      </c>
      <c r="Q21" s="58"/>
      <c r="R21" s="20" t="s">
        <v>41</v>
      </c>
      <c r="S21" s="20"/>
      <c r="T21" s="26">
        <v>31</v>
      </c>
      <c r="U21" s="56">
        <v>106.19169702768305</v>
      </c>
      <c r="V21" s="59">
        <v>0.85</v>
      </c>
      <c r="W21" s="54">
        <f t="shared" si="5"/>
        <v>90.26294247353059</v>
      </c>
      <c r="X21" s="58"/>
      <c r="Y21" s="54">
        <f t="shared" si="6"/>
        <v>-8.322033382621484</v>
      </c>
      <c r="Z21" s="54">
        <f t="shared" si="7"/>
        <v>13.011299950711855</v>
      </c>
      <c r="AA21" s="13">
        <f t="shared" si="8"/>
        <v>0</v>
      </c>
      <c r="AB21" s="60"/>
      <c r="AC21" s="71">
        <f t="shared" si="9"/>
        <v>0</v>
      </c>
      <c r="AD21" s="11"/>
      <c r="AF21" s="44"/>
      <c r="AG21" s="11"/>
      <c r="AI21" s="11"/>
      <c r="AK21" s="33"/>
      <c r="AL21" s="51"/>
      <c r="AM21" s="11"/>
      <c r="AO21" s="11"/>
      <c r="AP21" s="11"/>
      <c r="AQ21" s="33"/>
      <c r="AR21" s="11"/>
      <c r="AS21" s="33"/>
      <c r="AT21" s="11"/>
      <c r="AV21" s="52"/>
    </row>
    <row r="22" spans="1:48" ht="12.75">
      <c r="A22" s="55"/>
      <c r="B22" s="55"/>
      <c r="C22" s="20" t="s">
        <v>42</v>
      </c>
      <c r="D22" s="20"/>
      <c r="E22" s="26">
        <v>30</v>
      </c>
      <c r="F22" s="20"/>
      <c r="G22" s="84">
        <v>98.00454545454545</v>
      </c>
      <c r="H22" s="82">
        <f t="shared" si="0"/>
        <v>88.20409090909091</v>
      </c>
      <c r="I22" s="58"/>
      <c r="J22" s="84">
        <v>122.92994599450557</v>
      </c>
      <c r="K22" s="59">
        <v>0.9</v>
      </c>
      <c r="L22" s="82">
        <f t="shared" si="1"/>
        <v>110.63695139505502</v>
      </c>
      <c r="M22" s="58"/>
      <c r="N22" s="82">
        <f t="shared" si="2"/>
        <v>-22.432860485964113</v>
      </c>
      <c r="O22" s="82">
        <f>IF(OR(OR(AND(N22&gt;=0,O21&gt;0),O21=""),N22&gt;$O$7),$O$7,IF(N22+O21&gt;=0,N22+O21,0))</f>
        <v>20.233806180702565</v>
      </c>
      <c r="P22" s="18">
        <f t="shared" si="4"/>
        <v>0</v>
      </c>
      <c r="Q22" s="58"/>
      <c r="R22" s="20" t="s">
        <v>42</v>
      </c>
      <c r="S22" s="20"/>
      <c r="T22" s="26">
        <v>30</v>
      </c>
      <c r="U22" s="56">
        <v>122.92994599450557</v>
      </c>
      <c r="V22" s="59">
        <v>1.2</v>
      </c>
      <c r="W22" s="54">
        <f t="shared" si="5"/>
        <v>147.51593519340668</v>
      </c>
      <c r="X22" s="58"/>
      <c r="Y22" s="54">
        <f t="shared" si="6"/>
        <v>-59.31184428431577</v>
      </c>
      <c r="Z22" s="54">
        <f t="shared" si="7"/>
        <v>0</v>
      </c>
      <c r="AA22" s="18">
        <f t="shared" si="8"/>
        <v>185202.1773344156</v>
      </c>
      <c r="AB22" s="88"/>
      <c r="AC22" s="89">
        <f t="shared" si="9"/>
        <v>231502.7216680195</v>
      </c>
      <c r="AD22" s="11"/>
      <c r="AF22" s="44"/>
      <c r="AG22" s="11"/>
      <c r="AI22" s="11"/>
      <c r="AK22" s="33"/>
      <c r="AL22" s="51"/>
      <c r="AM22" s="11"/>
      <c r="AO22" s="11"/>
      <c r="AP22" s="11"/>
      <c r="AQ22" s="33"/>
      <c r="AR22" s="11"/>
      <c r="AS22" s="33"/>
      <c r="AT22" s="11"/>
      <c r="AV22" s="52"/>
    </row>
    <row r="23" spans="1:48" ht="12.75">
      <c r="A23" s="55"/>
      <c r="B23" s="55"/>
      <c r="C23" s="20" t="s">
        <v>43</v>
      </c>
      <c r="D23" s="20"/>
      <c r="E23" s="26">
        <v>31</v>
      </c>
      <c r="F23" s="20"/>
      <c r="G23" s="84">
        <v>83.25</v>
      </c>
      <c r="H23" s="82">
        <f t="shared" si="0"/>
        <v>74.925</v>
      </c>
      <c r="I23" s="58"/>
      <c r="J23" s="84">
        <v>143.25374707095224</v>
      </c>
      <c r="K23" s="59">
        <v>1.2</v>
      </c>
      <c r="L23" s="82">
        <f t="shared" si="1"/>
        <v>171.9044964851427</v>
      </c>
      <c r="M23" s="58"/>
      <c r="N23" s="82">
        <f t="shared" si="2"/>
        <v>-96.97949648514269</v>
      </c>
      <c r="O23" s="82">
        <f t="shared" si="3"/>
        <v>0</v>
      </c>
      <c r="P23" s="18">
        <f>IF(O23&gt;0,0,ABS(N23+O22)/1000*$O$9*10000)</f>
        <v>537219.8321310809</v>
      </c>
      <c r="Q23" s="58"/>
      <c r="R23" s="20" t="s">
        <v>43</v>
      </c>
      <c r="S23" s="20"/>
      <c r="T23" s="26">
        <v>31</v>
      </c>
      <c r="U23" s="56">
        <v>143.25374707095224</v>
      </c>
      <c r="V23" s="59">
        <v>1.2</v>
      </c>
      <c r="W23" s="54">
        <f t="shared" si="5"/>
        <v>171.9044964851427</v>
      </c>
      <c r="X23" s="58"/>
      <c r="Y23" s="54">
        <f t="shared" si="6"/>
        <v>-96.97949648514269</v>
      </c>
      <c r="Z23" s="54">
        <f t="shared" si="7"/>
        <v>0</v>
      </c>
      <c r="AA23" s="18">
        <f t="shared" si="8"/>
        <v>387917.98594057077</v>
      </c>
      <c r="AB23" s="88"/>
      <c r="AC23" s="89">
        <f t="shared" si="9"/>
        <v>1156422.2725895646</v>
      </c>
      <c r="AD23" s="11"/>
      <c r="AF23" s="44"/>
      <c r="AG23" s="11"/>
      <c r="AI23" s="11"/>
      <c r="AK23" s="33"/>
      <c r="AL23" s="51"/>
      <c r="AM23" s="11"/>
      <c r="AO23" s="11"/>
      <c r="AP23" s="11"/>
      <c r="AQ23" s="33"/>
      <c r="AR23" s="11"/>
      <c r="AS23" s="33"/>
      <c r="AT23" s="11"/>
      <c r="AV23" s="52"/>
    </row>
    <row r="24" spans="1:48" ht="12.75">
      <c r="A24" s="55"/>
      <c r="B24" s="55"/>
      <c r="C24" s="20" t="s">
        <v>44</v>
      </c>
      <c r="D24" s="20"/>
      <c r="E24" s="26">
        <v>31</v>
      </c>
      <c r="F24" s="20"/>
      <c r="G24" s="84">
        <v>88.2409090909091</v>
      </c>
      <c r="H24" s="82">
        <f t="shared" si="0"/>
        <v>79.41681818181819</v>
      </c>
      <c r="I24" s="58"/>
      <c r="J24" s="84">
        <v>124.53500908755322</v>
      </c>
      <c r="K24" s="59">
        <v>1.2</v>
      </c>
      <c r="L24" s="82">
        <f t="shared" si="1"/>
        <v>149.44201090506385</v>
      </c>
      <c r="M24" s="58"/>
      <c r="N24" s="82">
        <f t="shared" si="2"/>
        <v>-70.02519272324567</v>
      </c>
      <c r="O24" s="82">
        <f t="shared" si="3"/>
        <v>0</v>
      </c>
      <c r="P24" s="18">
        <f t="shared" si="4"/>
        <v>490176.34906271973</v>
      </c>
      <c r="Q24" s="58"/>
      <c r="R24" s="20" t="s">
        <v>44</v>
      </c>
      <c r="S24" s="20"/>
      <c r="T24" s="26">
        <v>31</v>
      </c>
      <c r="U24" s="56">
        <v>124.53500908755322</v>
      </c>
      <c r="V24" s="59">
        <v>0.7</v>
      </c>
      <c r="W24" s="54">
        <f t="shared" si="5"/>
        <v>87.17450636128724</v>
      </c>
      <c r="X24" s="58"/>
      <c r="Y24" s="54">
        <f t="shared" si="6"/>
        <v>-7.757688179469056</v>
      </c>
      <c r="Z24" s="54">
        <f t="shared" si="7"/>
        <v>0</v>
      </c>
      <c r="AA24" s="18">
        <f t="shared" si="8"/>
        <v>31030.752717876225</v>
      </c>
      <c r="AB24" s="88"/>
      <c r="AC24" s="89">
        <f t="shared" si="9"/>
        <v>651508.8772257449</v>
      </c>
      <c r="AD24" s="11"/>
      <c r="AF24" s="44"/>
      <c r="AG24" s="11"/>
      <c r="AI24" s="11"/>
      <c r="AK24" s="33"/>
      <c r="AL24" s="51"/>
      <c r="AM24" s="11"/>
      <c r="AO24" s="11"/>
      <c r="AP24" s="11"/>
      <c r="AQ24" s="33"/>
      <c r="AR24" s="11"/>
      <c r="AS24" s="33"/>
      <c r="AT24" s="11"/>
      <c r="AV24" s="52"/>
    </row>
    <row r="25" spans="1:48" ht="12.75">
      <c r="A25" s="55"/>
      <c r="B25" s="55"/>
      <c r="C25" s="20" t="s">
        <v>45</v>
      </c>
      <c r="D25" s="20"/>
      <c r="E25" s="26">
        <v>30</v>
      </c>
      <c r="F25" s="20"/>
      <c r="G25" s="84">
        <v>86.02727272727272</v>
      </c>
      <c r="H25" s="82">
        <f t="shared" si="0"/>
        <v>77.42454545454545</v>
      </c>
      <c r="I25" s="58"/>
      <c r="J25" s="84">
        <v>78.75812707197855</v>
      </c>
      <c r="K25" s="59">
        <v>0.4</v>
      </c>
      <c r="L25" s="82">
        <f t="shared" si="1"/>
        <v>31.503250828791423</v>
      </c>
      <c r="M25" s="58"/>
      <c r="N25" s="82">
        <f t="shared" si="2"/>
        <v>45.92129462575403</v>
      </c>
      <c r="O25" s="82">
        <f t="shared" si="3"/>
        <v>42.66666666666668</v>
      </c>
      <c r="P25" s="18">
        <f t="shared" si="4"/>
        <v>0</v>
      </c>
      <c r="Q25" s="58"/>
      <c r="R25" s="20" t="s">
        <v>45</v>
      </c>
      <c r="S25" s="20"/>
      <c r="T25" s="26">
        <v>30</v>
      </c>
      <c r="U25" s="56">
        <v>78.75812707197855</v>
      </c>
      <c r="V25" s="59">
        <v>0.1</v>
      </c>
      <c r="W25" s="54">
        <f t="shared" si="5"/>
        <v>7.875812707197856</v>
      </c>
      <c r="X25" s="58"/>
      <c r="Y25" s="54">
        <f t="shared" si="6"/>
        <v>69.5487327473476</v>
      </c>
      <c r="Z25" s="54">
        <f t="shared" si="7"/>
        <v>21.33333333333334</v>
      </c>
      <c r="AA25" s="13">
        <f t="shared" si="8"/>
        <v>0</v>
      </c>
      <c r="AB25" s="60"/>
      <c r="AC25" s="71">
        <f t="shared" si="9"/>
        <v>0</v>
      </c>
      <c r="AD25" s="11"/>
      <c r="AF25" s="44"/>
      <c r="AG25" s="11"/>
      <c r="AI25" s="11"/>
      <c r="AK25" s="33"/>
      <c r="AL25" s="51"/>
      <c r="AM25" s="11"/>
      <c r="AO25" s="11"/>
      <c r="AP25" s="11"/>
      <c r="AQ25" s="33"/>
      <c r="AR25" s="11"/>
      <c r="AS25" s="33"/>
      <c r="AT25" s="11"/>
      <c r="AV25" s="52"/>
    </row>
    <row r="26" spans="1:48" ht="12.75">
      <c r="A26" s="55"/>
      <c r="B26" s="55"/>
      <c r="C26" s="20" t="s">
        <v>46</v>
      </c>
      <c r="D26" s="20"/>
      <c r="E26" s="26">
        <v>31</v>
      </c>
      <c r="F26" s="20"/>
      <c r="G26" s="84">
        <v>85.27727272727273</v>
      </c>
      <c r="H26" s="82">
        <f t="shared" si="0"/>
        <v>76.74954545454545</v>
      </c>
      <c r="I26" s="58"/>
      <c r="J26" s="84">
        <v>42.644074605962906</v>
      </c>
      <c r="K26" s="59">
        <v>0.1</v>
      </c>
      <c r="L26" s="82">
        <f t="shared" si="1"/>
        <v>4.264407460596291</v>
      </c>
      <c r="M26" s="58"/>
      <c r="N26" s="82">
        <f t="shared" si="2"/>
        <v>72.48513799394917</v>
      </c>
      <c r="O26" s="82">
        <f t="shared" si="3"/>
        <v>42.66666666666668</v>
      </c>
      <c r="P26" s="13">
        <f t="shared" si="4"/>
        <v>0</v>
      </c>
      <c r="Q26" s="58"/>
      <c r="R26" s="20" t="s">
        <v>46</v>
      </c>
      <c r="S26" s="20"/>
      <c r="T26" s="26">
        <v>31</v>
      </c>
      <c r="U26" s="56">
        <v>42.644074605962906</v>
      </c>
      <c r="V26" s="59">
        <v>0.1</v>
      </c>
      <c r="W26" s="54">
        <f t="shared" si="5"/>
        <v>4.264407460596291</v>
      </c>
      <c r="X26" s="58"/>
      <c r="Y26" s="54">
        <f t="shared" si="6"/>
        <v>72.48513799394917</v>
      </c>
      <c r="Z26" s="54">
        <f t="shared" si="7"/>
        <v>21.33333333333334</v>
      </c>
      <c r="AA26" s="13">
        <f t="shared" si="8"/>
        <v>0</v>
      </c>
      <c r="AB26" s="60"/>
      <c r="AC26" s="71">
        <f t="shared" si="9"/>
        <v>0</v>
      </c>
      <c r="AD26" s="11"/>
      <c r="AF26" s="44"/>
      <c r="AG26" s="11"/>
      <c r="AI26" s="11"/>
      <c r="AK26" s="33"/>
      <c r="AL26" s="51"/>
      <c r="AM26" s="11"/>
      <c r="AO26" s="11"/>
      <c r="AP26" s="11"/>
      <c r="AQ26" s="33"/>
      <c r="AR26" s="11"/>
      <c r="AS26" s="33"/>
      <c r="AT26" s="11"/>
      <c r="AV26" s="52"/>
    </row>
    <row r="27" spans="1:48" ht="12.75">
      <c r="A27" s="55"/>
      <c r="B27" s="55"/>
      <c r="C27" s="20" t="s">
        <v>47</v>
      </c>
      <c r="D27" s="20"/>
      <c r="E27" s="26">
        <v>30</v>
      </c>
      <c r="F27" s="20"/>
      <c r="G27" s="84">
        <v>58.645454545454555</v>
      </c>
      <c r="H27" s="82">
        <f t="shared" si="0"/>
        <v>52.7809090909091</v>
      </c>
      <c r="I27" s="58"/>
      <c r="J27" s="84">
        <v>22.120032628108355</v>
      </c>
      <c r="K27" s="59">
        <v>0.1</v>
      </c>
      <c r="L27" s="82">
        <f t="shared" si="1"/>
        <v>2.2120032628108355</v>
      </c>
      <c r="M27" s="58"/>
      <c r="N27" s="82">
        <f t="shared" si="2"/>
        <v>50.568905828098266</v>
      </c>
      <c r="O27" s="82">
        <f t="shared" si="3"/>
        <v>42.66666666666668</v>
      </c>
      <c r="P27" s="13">
        <f t="shared" si="4"/>
        <v>0</v>
      </c>
      <c r="Q27" s="58"/>
      <c r="R27" s="20" t="s">
        <v>47</v>
      </c>
      <c r="S27" s="20"/>
      <c r="T27" s="26">
        <v>30</v>
      </c>
      <c r="U27" s="56">
        <v>22.120032628108355</v>
      </c>
      <c r="V27" s="59">
        <v>0.1</v>
      </c>
      <c r="W27" s="54">
        <f t="shared" si="5"/>
        <v>2.2120032628108355</v>
      </c>
      <c r="X27" s="58"/>
      <c r="Y27" s="54">
        <f t="shared" si="6"/>
        <v>50.568905828098266</v>
      </c>
      <c r="Z27" s="54">
        <f t="shared" si="7"/>
        <v>21.33333333333334</v>
      </c>
      <c r="AA27" s="13">
        <f t="shared" si="8"/>
        <v>0</v>
      </c>
      <c r="AB27" s="60"/>
      <c r="AC27" s="71">
        <f t="shared" si="9"/>
        <v>0</v>
      </c>
      <c r="AD27" s="11"/>
      <c r="AF27" s="44"/>
      <c r="AG27" s="11"/>
      <c r="AI27" s="11"/>
      <c r="AK27" s="33"/>
      <c r="AL27" s="51"/>
      <c r="AM27" s="11"/>
      <c r="AO27" s="11"/>
      <c r="AP27" s="11"/>
      <c r="AQ27" s="33"/>
      <c r="AR27" s="11"/>
      <c r="AS27" s="33"/>
      <c r="AT27" s="11"/>
      <c r="AV27" s="52"/>
    </row>
    <row r="28" spans="1:48" ht="12.75">
      <c r="A28" s="55"/>
      <c r="B28" s="55"/>
      <c r="C28" s="20" t="s">
        <v>48</v>
      </c>
      <c r="D28" s="20"/>
      <c r="E28" s="26">
        <v>31</v>
      </c>
      <c r="F28" s="20"/>
      <c r="G28" s="84">
        <v>68.06363636363638</v>
      </c>
      <c r="H28" s="82">
        <f t="shared" si="0"/>
        <v>61.25727272727274</v>
      </c>
      <c r="I28" s="58"/>
      <c r="J28" s="84">
        <v>18.967197088223603</v>
      </c>
      <c r="K28" s="59">
        <v>0.1</v>
      </c>
      <c r="L28" s="82">
        <f t="shared" si="1"/>
        <v>1.8967197088223604</v>
      </c>
      <c r="M28" s="58"/>
      <c r="N28" s="82">
        <f t="shared" si="2"/>
        <v>59.36055301845038</v>
      </c>
      <c r="O28" s="82">
        <f t="shared" si="3"/>
        <v>42.66666666666668</v>
      </c>
      <c r="P28" s="13">
        <f t="shared" si="4"/>
        <v>0</v>
      </c>
      <c r="Q28" s="58"/>
      <c r="R28" s="20" t="s">
        <v>48</v>
      </c>
      <c r="S28" s="20"/>
      <c r="T28" s="26">
        <v>31</v>
      </c>
      <c r="U28" s="56">
        <v>18.967197088223603</v>
      </c>
      <c r="V28" s="59">
        <v>0.1</v>
      </c>
      <c r="W28" s="54">
        <f t="shared" si="5"/>
        <v>1.8967197088223604</v>
      </c>
      <c r="X28" s="58"/>
      <c r="Y28" s="54">
        <f t="shared" si="6"/>
        <v>59.36055301845038</v>
      </c>
      <c r="Z28" s="54">
        <f t="shared" si="7"/>
        <v>21.33333333333334</v>
      </c>
      <c r="AA28" s="13">
        <f t="shared" si="8"/>
        <v>0</v>
      </c>
      <c r="AB28" s="60"/>
      <c r="AC28" s="71">
        <f t="shared" si="9"/>
        <v>0</v>
      </c>
      <c r="AD28" s="11"/>
      <c r="AF28" s="44"/>
      <c r="AG28" s="11"/>
      <c r="AI28" s="11"/>
      <c r="AK28" s="33"/>
      <c r="AL28" s="51"/>
      <c r="AM28" s="11"/>
      <c r="AO28" s="11"/>
      <c r="AP28" s="11"/>
      <c r="AQ28" s="33"/>
      <c r="AR28" s="11"/>
      <c r="AS28" s="33"/>
      <c r="AT28" s="11"/>
      <c r="AV28" s="52"/>
    </row>
    <row r="30" ht="12.75">
      <c r="AR30" s="53"/>
    </row>
    <row r="31" spans="3:20" ht="12.75">
      <c r="C31" s="38"/>
      <c r="D31" s="38"/>
      <c r="E31" s="39"/>
      <c r="F31" s="1"/>
      <c r="G31" s="1"/>
      <c r="O31" s="36"/>
      <c r="P31" s="37"/>
      <c r="R31" s="38"/>
      <c r="S31" s="38"/>
      <c r="T31" s="39"/>
    </row>
    <row r="32" spans="3:20" ht="12.75">
      <c r="C32" s="38"/>
      <c r="D32" s="38"/>
      <c r="E32" s="30"/>
      <c r="F32" s="1"/>
      <c r="G32" s="1"/>
      <c r="N32" s="36"/>
      <c r="O32" s="36"/>
      <c r="R32" s="38"/>
      <c r="S32" s="38"/>
      <c r="T32" s="30"/>
    </row>
    <row r="33" spans="3:20" ht="12.75">
      <c r="C33" s="38"/>
      <c r="D33" s="38"/>
      <c r="E33" s="1"/>
      <c r="F33" s="1"/>
      <c r="G33" s="1"/>
      <c r="R33" s="38"/>
      <c r="S33" s="38"/>
      <c r="T33" s="1"/>
    </row>
    <row r="34" spans="3:20" ht="12.75">
      <c r="C34" s="40"/>
      <c r="D34" s="40"/>
      <c r="E34" s="33"/>
      <c r="F34" s="1"/>
      <c r="G34" s="1"/>
      <c r="R34" s="40"/>
      <c r="S34" s="40"/>
      <c r="T34" s="33"/>
    </row>
    <row r="35" spans="3:20" ht="12.75">
      <c r="C35" s="40"/>
      <c r="D35" s="40"/>
      <c r="E35" s="33"/>
      <c r="F35" s="1"/>
      <c r="G35" s="1"/>
      <c r="R35" s="40"/>
      <c r="S35" s="40"/>
      <c r="T35" s="33"/>
    </row>
    <row r="36" spans="3:19" ht="12.75">
      <c r="C36" s="40"/>
      <c r="D36" s="40"/>
      <c r="R36" s="40"/>
      <c r="S36" s="40"/>
    </row>
    <row r="37" spans="3:19" ht="12.75">
      <c r="C37" s="40"/>
      <c r="D37" s="40"/>
      <c r="R37" s="40"/>
      <c r="S37" s="40"/>
    </row>
    <row r="38" spans="3:19" ht="12.75">
      <c r="C38" s="40"/>
      <c r="D38" s="40"/>
      <c r="R38" s="40"/>
      <c r="S38" s="40"/>
    </row>
    <row r="39" spans="3:19" ht="12.75">
      <c r="C39" s="40"/>
      <c r="D39" s="40"/>
      <c r="R39" s="40"/>
      <c r="S39" s="40"/>
    </row>
    <row r="40" spans="3:19" ht="12.75">
      <c r="C40" s="40"/>
      <c r="D40" s="40"/>
      <c r="R40" s="40"/>
      <c r="S40" s="40"/>
    </row>
    <row r="41" spans="3:19" ht="12.75">
      <c r="C41" s="40"/>
      <c r="D41" s="40"/>
      <c r="R41" s="40"/>
      <c r="S41" s="40"/>
    </row>
    <row r="42" spans="3:19" ht="12.75">
      <c r="C42" s="40"/>
      <c r="D42" s="40"/>
      <c r="R42" s="40"/>
      <c r="S42" s="40"/>
    </row>
    <row r="43" spans="3:19" ht="12.75">
      <c r="C43" s="40"/>
      <c r="D43" s="40"/>
      <c r="R43" s="40"/>
      <c r="S43" s="40"/>
    </row>
    <row r="44" spans="3:20" ht="12.75">
      <c r="C44" s="40"/>
      <c r="D44" s="40"/>
      <c r="E44" s="33"/>
      <c r="F44" s="1"/>
      <c r="G44" s="1"/>
      <c r="R44" s="40"/>
      <c r="S44" s="40"/>
      <c r="T44" s="33"/>
    </row>
    <row r="45" spans="3:20" ht="12.75">
      <c r="C45" s="40"/>
      <c r="D45" s="40"/>
      <c r="E45" s="33"/>
      <c r="F45" s="1"/>
      <c r="G45" s="1"/>
      <c r="R45" s="40"/>
      <c r="S45" s="40"/>
      <c r="T45" s="33"/>
    </row>
    <row r="46" spans="3:20" ht="12.75">
      <c r="C46" s="1"/>
      <c r="D46" s="1"/>
      <c r="E46" s="1"/>
      <c r="F46" s="1"/>
      <c r="G46" s="1"/>
      <c r="R46" s="1"/>
      <c r="S46" s="1"/>
      <c r="T46" s="1"/>
    </row>
    <row r="47" spans="3:20" ht="12.75">
      <c r="C47" s="1"/>
      <c r="D47" s="1"/>
      <c r="E47" s="1"/>
      <c r="F47" s="1"/>
      <c r="G47" s="1"/>
      <c r="R47" s="1"/>
      <c r="S47" s="1"/>
      <c r="T47" s="1"/>
    </row>
    <row r="48" spans="3:20" ht="12.75">
      <c r="C48" s="1"/>
      <c r="D48" s="1"/>
      <c r="E48" s="1"/>
      <c r="F48" s="1"/>
      <c r="G48" s="1"/>
      <c r="R48" s="1"/>
      <c r="S48" s="1"/>
      <c r="T48" s="1"/>
    </row>
    <row r="49" spans="3:20" ht="12.75">
      <c r="C49" s="1"/>
      <c r="D49" s="1"/>
      <c r="E49" s="1"/>
      <c r="F49" s="1"/>
      <c r="G49" s="1"/>
      <c r="R49" s="1"/>
      <c r="S49" s="1"/>
      <c r="T49" s="1"/>
    </row>
    <row r="50" spans="3:20" ht="12.75">
      <c r="C50" s="1"/>
      <c r="D50" s="1"/>
      <c r="E50" s="1"/>
      <c r="F50" s="1"/>
      <c r="G50" s="1"/>
      <c r="R50" s="1"/>
      <c r="S50" s="1"/>
      <c r="T50" s="1"/>
    </row>
    <row r="51" spans="3:20" ht="12.75">
      <c r="C51" s="1"/>
      <c r="D51" s="1"/>
      <c r="E51" s="1"/>
      <c r="F51" s="1"/>
      <c r="G51" s="1"/>
      <c r="R51" s="1"/>
      <c r="S51" s="1"/>
      <c r="T51" s="1"/>
    </row>
    <row r="52" spans="3:20" ht="12.75">
      <c r="C52" s="1"/>
      <c r="D52" s="1"/>
      <c r="E52" s="1"/>
      <c r="F52" s="1"/>
      <c r="G52" s="1"/>
      <c r="R52" s="1"/>
      <c r="S52" s="1"/>
      <c r="T52" s="1"/>
    </row>
    <row r="53" spans="3:20" ht="12.75">
      <c r="C53" s="1"/>
      <c r="D53" s="1"/>
      <c r="E53" s="1"/>
      <c r="F53" s="1"/>
      <c r="G53" s="1"/>
      <c r="R53" s="1"/>
      <c r="S53" s="1"/>
      <c r="T53" s="1"/>
    </row>
    <row r="54" spans="3:20" ht="12.75">
      <c r="C54" s="1"/>
      <c r="D54" s="1"/>
      <c r="E54" s="1"/>
      <c r="F54" s="1"/>
      <c r="G54" s="1"/>
      <c r="R54" s="1"/>
      <c r="S54" s="1"/>
      <c r="T54" s="1"/>
    </row>
    <row r="55" spans="3:20" ht="12.75">
      <c r="C55" s="1"/>
      <c r="D55" s="1"/>
      <c r="E55" s="1"/>
      <c r="F55" s="1"/>
      <c r="G55" s="1"/>
      <c r="R55" s="1"/>
      <c r="S55" s="1"/>
      <c r="T55" s="1"/>
    </row>
    <row r="56" spans="3:20" ht="12.75">
      <c r="C56" s="1"/>
      <c r="D56" s="1"/>
      <c r="E56" s="1"/>
      <c r="F56" s="1"/>
      <c r="G56" s="1"/>
      <c r="R56" s="1"/>
      <c r="S56" s="1"/>
      <c r="T56" s="1"/>
    </row>
    <row r="57" spans="3:20" ht="12.75">
      <c r="C57" s="1"/>
      <c r="D57" s="1"/>
      <c r="E57" s="1"/>
      <c r="F57" s="1"/>
      <c r="G57" s="1"/>
      <c r="R57" s="1"/>
      <c r="S57" s="1"/>
      <c r="T57" s="1"/>
    </row>
    <row r="58" spans="3:20" ht="12.75">
      <c r="C58" s="1"/>
      <c r="D58" s="1"/>
      <c r="E58" s="1"/>
      <c r="F58" s="1"/>
      <c r="G58" s="1"/>
      <c r="R58" s="1"/>
      <c r="S58" s="1"/>
      <c r="T58" s="1"/>
    </row>
    <row r="59" spans="3:20" ht="12.75">
      <c r="C59" s="1"/>
      <c r="D59" s="1"/>
      <c r="E59" s="1"/>
      <c r="F59" s="1"/>
      <c r="G59" s="1"/>
      <c r="R59" s="1"/>
      <c r="S59" s="1"/>
      <c r="T59" s="1"/>
    </row>
    <row r="60" spans="3:20" ht="12.75">
      <c r="C60" s="1"/>
      <c r="D60" s="1"/>
      <c r="E60" s="1"/>
      <c r="F60" s="1"/>
      <c r="G60" s="1"/>
      <c r="R60" s="1"/>
      <c r="S60" s="1"/>
      <c r="T60" s="1"/>
    </row>
    <row r="61" spans="3:20" ht="12.75">
      <c r="C61" s="1"/>
      <c r="D61" s="1"/>
      <c r="E61" s="1"/>
      <c r="F61" s="1"/>
      <c r="G61" s="1"/>
      <c r="R61" s="1"/>
      <c r="S61" s="1"/>
      <c r="T61" s="1"/>
    </row>
  </sheetData>
  <conditionalFormatting sqref="AP17:AP28">
    <cfRule type="cellIs" priority="1" dxfId="0" operator="lessThan" stopIfTrue="1">
      <formula>0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Z30"/>
  <sheetViews>
    <sheetView workbookViewId="0" topLeftCell="A1">
      <selection activeCell="B2" sqref="B2"/>
    </sheetView>
  </sheetViews>
  <sheetFormatPr defaultColWidth="9.140625" defaultRowHeight="12.75"/>
  <cols>
    <col min="3" max="3" width="11.7109375" style="0" bestFit="1" customWidth="1"/>
    <col min="4" max="4" width="2.7109375" style="0" customWidth="1"/>
    <col min="5" max="5" width="9.57421875" style="0" customWidth="1"/>
    <col min="6" max="6" width="2.7109375" style="0" customWidth="1"/>
    <col min="7" max="7" width="13.00390625" style="0" customWidth="1"/>
    <col min="8" max="8" width="10.57421875" style="0" customWidth="1"/>
    <col min="9" max="9" width="2.7109375" style="0" customWidth="1"/>
    <col min="10" max="10" width="14.7109375" style="0" customWidth="1"/>
    <col min="11" max="11" width="10.00390625" style="0" customWidth="1"/>
    <col min="12" max="12" width="2.7109375" style="0" customWidth="1"/>
    <col min="13" max="13" width="15.28125" style="0" customWidth="1"/>
    <col min="16" max="17" width="12.00390625" style="1" bestFit="1" customWidth="1"/>
    <col min="18" max="18" width="9.140625" style="1" customWidth="1"/>
    <col min="19" max="19" width="13.140625" style="1" bestFit="1" customWidth="1"/>
    <col min="20" max="20" width="21.28125" style="1" bestFit="1" customWidth="1"/>
    <col min="21" max="21" width="9.140625" style="1" customWidth="1"/>
    <col min="22" max="22" width="18.8515625" style="1" bestFit="1" customWidth="1"/>
    <col min="23" max="23" width="2.7109375" style="1" customWidth="1"/>
    <col min="24" max="24" width="18.8515625" style="1" bestFit="1" customWidth="1"/>
    <col min="25" max="25" width="2.7109375" style="1" customWidth="1"/>
    <col min="26" max="26" width="23.140625" style="1" bestFit="1" customWidth="1"/>
    <col min="27" max="49" width="9.140625" style="1" customWidth="1"/>
  </cols>
  <sheetData>
    <row r="2" ht="20.25">
      <c r="B2" s="2" t="s">
        <v>58</v>
      </c>
    </row>
    <row r="3" spans="15:16" ht="12.75">
      <c r="O3" s="3"/>
      <c r="P3" s="42"/>
    </row>
    <row r="4" spans="15:16" ht="12.75">
      <c r="O4" s="3"/>
      <c r="P4" s="44"/>
    </row>
    <row r="5" spans="7:26" ht="12.75">
      <c r="G5" s="10"/>
      <c r="H5" s="10"/>
      <c r="I5" s="10"/>
      <c r="J5" s="10"/>
      <c r="K5" s="10"/>
      <c r="L5" s="10"/>
      <c r="M5" s="10"/>
      <c r="N5" s="10"/>
      <c r="O5" s="3"/>
      <c r="P5" s="44"/>
      <c r="R5" s="11"/>
      <c r="S5" s="45"/>
      <c r="T5" s="45"/>
      <c r="U5" s="45"/>
      <c r="V5" s="45"/>
      <c r="W5" s="45"/>
      <c r="Z5" s="11"/>
    </row>
    <row r="6" spans="15:16" ht="12.75">
      <c r="O6" s="3"/>
      <c r="P6" s="44"/>
    </row>
    <row r="7" spans="6:23" ht="12.75">
      <c r="F7" s="5" t="s">
        <v>107</v>
      </c>
      <c r="G7" s="14">
        <v>20000</v>
      </c>
      <c r="H7" t="s">
        <v>108</v>
      </c>
      <c r="I7" s="5"/>
      <c r="J7" s="5" t="s">
        <v>110</v>
      </c>
      <c r="K7" s="14">
        <v>35000</v>
      </c>
      <c r="L7" t="s">
        <v>108</v>
      </c>
      <c r="M7" s="10"/>
      <c r="N7" s="10"/>
      <c r="O7" s="3"/>
      <c r="P7" s="44"/>
      <c r="S7" s="45"/>
      <c r="T7" s="45"/>
      <c r="U7" s="45"/>
      <c r="V7" s="45"/>
      <c r="W7" s="45"/>
    </row>
    <row r="8" spans="6:9" ht="12.75">
      <c r="F8" s="15"/>
      <c r="I8" s="15"/>
    </row>
    <row r="9" spans="6:16" ht="12.75">
      <c r="F9" s="5" t="s">
        <v>109</v>
      </c>
      <c r="G9" s="17">
        <v>300</v>
      </c>
      <c r="H9" t="s">
        <v>17</v>
      </c>
      <c r="I9" s="5"/>
      <c r="K9" s="33"/>
      <c r="L9" s="1"/>
      <c r="O9" s="3"/>
      <c r="P9" s="33"/>
    </row>
    <row r="14" spans="3:26" ht="25.5">
      <c r="C14" s="20" t="s">
        <v>20</v>
      </c>
      <c r="D14" s="20"/>
      <c r="E14" s="20" t="s">
        <v>21</v>
      </c>
      <c r="F14" s="20"/>
      <c r="G14" s="21" t="s">
        <v>27</v>
      </c>
      <c r="H14" s="21" t="s">
        <v>121</v>
      </c>
      <c r="I14" s="22"/>
      <c r="J14" s="21" t="s">
        <v>27</v>
      </c>
      <c r="K14" s="21" t="s">
        <v>122</v>
      </c>
      <c r="L14" s="22"/>
      <c r="M14" s="23" t="s">
        <v>30</v>
      </c>
      <c r="N14" s="21"/>
      <c r="O14" s="22"/>
      <c r="P14" s="24"/>
      <c r="Q14" s="24"/>
      <c r="S14" s="47"/>
      <c r="T14" s="47"/>
      <c r="U14" s="48"/>
      <c r="V14" s="47"/>
      <c r="W14" s="48"/>
      <c r="X14" s="47"/>
      <c r="Z14" s="49"/>
    </row>
    <row r="15" spans="3:24" ht="12.75">
      <c r="C15" s="26"/>
      <c r="D15" s="26"/>
      <c r="E15" s="26"/>
      <c r="F15" s="26"/>
      <c r="G15" s="27" t="s">
        <v>3</v>
      </c>
      <c r="H15" s="27" t="s">
        <v>35</v>
      </c>
      <c r="J15" s="27" t="s">
        <v>3</v>
      </c>
      <c r="K15" s="27" t="s">
        <v>35</v>
      </c>
      <c r="L15" s="27"/>
      <c r="M15" s="29" t="s">
        <v>35</v>
      </c>
      <c r="N15" s="27"/>
      <c r="P15" s="30"/>
      <c r="Q15" s="30"/>
      <c r="S15" s="50"/>
      <c r="T15" s="50"/>
      <c r="V15" s="50"/>
      <c r="X15" s="50"/>
    </row>
    <row r="16" spans="3:6" ht="12.75">
      <c r="C16" s="20"/>
      <c r="D16" s="20"/>
      <c r="E16" s="20"/>
      <c r="F16" s="20"/>
    </row>
    <row r="17" spans="3:26" ht="12.75">
      <c r="C17" s="31" t="s">
        <v>37</v>
      </c>
      <c r="D17" s="31"/>
      <c r="E17" s="32">
        <v>31</v>
      </c>
      <c r="F17" s="31"/>
      <c r="G17" s="9">
        <v>1</v>
      </c>
      <c r="H17" s="86">
        <f aca="true" t="shared" si="0" ref="H17:H28">$G$7*$G$9*G17*E17/1000</f>
        <v>186000</v>
      </c>
      <c r="J17" s="9">
        <v>1</v>
      </c>
      <c r="K17" s="86">
        <f aca="true" t="shared" si="1" ref="K17:K28">$K$7*$G$9*J17*E17/1000</f>
        <v>325500</v>
      </c>
      <c r="M17" s="87">
        <f>H17+K17</f>
        <v>511500</v>
      </c>
      <c r="O17" s="33"/>
      <c r="P17" s="51"/>
      <c r="Q17" s="11"/>
      <c r="S17" s="11"/>
      <c r="T17" s="11"/>
      <c r="U17" s="33"/>
      <c r="V17" s="11"/>
      <c r="W17" s="33"/>
      <c r="X17" s="11"/>
      <c r="Z17" s="52"/>
    </row>
    <row r="18" spans="3:26" ht="12.75">
      <c r="C18" s="31" t="s">
        <v>38</v>
      </c>
      <c r="D18" s="31"/>
      <c r="E18" s="32">
        <v>28</v>
      </c>
      <c r="F18" s="31"/>
      <c r="G18" s="9">
        <v>1</v>
      </c>
      <c r="H18" s="86">
        <f t="shared" si="0"/>
        <v>168000</v>
      </c>
      <c r="J18" s="9">
        <v>1</v>
      </c>
      <c r="K18" s="86">
        <f t="shared" si="1"/>
        <v>294000</v>
      </c>
      <c r="M18" s="87">
        <f aca="true" t="shared" si="2" ref="M18:M28">H18+K18</f>
        <v>462000</v>
      </c>
      <c r="O18" s="33"/>
      <c r="P18" s="51"/>
      <c r="Q18" s="11"/>
      <c r="S18" s="11"/>
      <c r="T18" s="11"/>
      <c r="U18" s="33"/>
      <c r="V18" s="11"/>
      <c r="W18" s="33"/>
      <c r="X18" s="11"/>
      <c r="Z18" s="52"/>
    </row>
    <row r="19" spans="3:26" ht="12.75">
      <c r="C19" s="31" t="s">
        <v>39</v>
      </c>
      <c r="D19" s="31"/>
      <c r="E19" s="32">
        <v>31</v>
      </c>
      <c r="F19" s="31"/>
      <c r="G19" s="9">
        <v>1</v>
      </c>
      <c r="H19" s="86">
        <f t="shared" si="0"/>
        <v>186000</v>
      </c>
      <c r="J19" s="9">
        <v>1</v>
      </c>
      <c r="K19" s="86">
        <f t="shared" si="1"/>
        <v>325500</v>
      </c>
      <c r="M19" s="87">
        <f t="shared" si="2"/>
        <v>511500</v>
      </c>
      <c r="O19" s="33"/>
      <c r="P19" s="51"/>
      <c r="Q19" s="11"/>
      <c r="S19" s="11"/>
      <c r="T19" s="11"/>
      <c r="U19" s="33"/>
      <c r="V19" s="11"/>
      <c r="W19" s="33"/>
      <c r="X19" s="11"/>
      <c r="Z19" s="52"/>
    </row>
    <row r="20" spans="3:26" ht="12.75">
      <c r="C20" s="31" t="s">
        <v>40</v>
      </c>
      <c r="D20" s="31"/>
      <c r="E20" s="32">
        <v>30</v>
      </c>
      <c r="F20" s="31"/>
      <c r="G20" s="9">
        <v>1</v>
      </c>
      <c r="H20" s="86">
        <f t="shared" si="0"/>
        <v>180000</v>
      </c>
      <c r="J20" s="9">
        <v>1</v>
      </c>
      <c r="K20" s="86">
        <f t="shared" si="1"/>
        <v>315000</v>
      </c>
      <c r="M20" s="87">
        <f t="shared" si="2"/>
        <v>495000</v>
      </c>
      <c r="O20" s="33"/>
      <c r="P20" s="51"/>
      <c r="Q20" s="11"/>
      <c r="S20" s="11"/>
      <c r="T20" s="11"/>
      <c r="U20" s="33"/>
      <c r="V20" s="11"/>
      <c r="W20" s="33"/>
      <c r="X20" s="11"/>
      <c r="Z20" s="52"/>
    </row>
    <row r="21" spans="3:26" ht="12.75">
      <c r="C21" s="31" t="s">
        <v>41</v>
      </c>
      <c r="D21" s="31"/>
      <c r="E21" s="32">
        <v>31</v>
      </c>
      <c r="F21" s="31"/>
      <c r="G21" s="9">
        <v>1</v>
      </c>
      <c r="H21" s="86">
        <f t="shared" si="0"/>
        <v>186000</v>
      </c>
      <c r="J21" s="9">
        <v>1</v>
      </c>
      <c r="K21" s="86">
        <f t="shared" si="1"/>
        <v>325500</v>
      </c>
      <c r="M21" s="87">
        <f t="shared" si="2"/>
        <v>511500</v>
      </c>
      <c r="O21" s="33"/>
      <c r="P21" s="51"/>
      <c r="Q21" s="11"/>
      <c r="S21" s="11"/>
      <c r="T21" s="11"/>
      <c r="U21" s="33"/>
      <c r="V21" s="11"/>
      <c r="W21" s="33"/>
      <c r="X21" s="11"/>
      <c r="Z21" s="52"/>
    </row>
    <row r="22" spans="3:26" ht="12.75">
      <c r="C22" s="31" t="s">
        <v>42</v>
      </c>
      <c r="D22" s="31"/>
      <c r="E22" s="32">
        <v>30</v>
      </c>
      <c r="F22" s="31"/>
      <c r="G22" s="9">
        <v>1</v>
      </c>
      <c r="H22" s="86">
        <f t="shared" si="0"/>
        <v>180000</v>
      </c>
      <c r="J22" s="9">
        <v>1</v>
      </c>
      <c r="K22" s="86">
        <f t="shared" si="1"/>
        <v>315000</v>
      </c>
      <c r="M22" s="87">
        <f t="shared" si="2"/>
        <v>495000</v>
      </c>
      <c r="O22" s="33"/>
      <c r="P22" s="51"/>
      <c r="Q22" s="11"/>
      <c r="S22" s="11"/>
      <c r="T22" s="11"/>
      <c r="U22" s="33"/>
      <c r="V22" s="11"/>
      <c r="W22" s="33"/>
      <c r="X22" s="11"/>
      <c r="Z22" s="52"/>
    </row>
    <row r="23" spans="3:26" ht="12.75">
      <c r="C23" s="31" t="s">
        <v>43</v>
      </c>
      <c r="D23" s="31"/>
      <c r="E23" s="32">
        <v>31</v>
      </c>
      <c r="F23" s="31"/>
      <c r="G23" s="9">
        <v>1</v>
      </c>
      <c r="H23" s="86">
        <f t="shared" si="0"/>
        <v>186000</v>
      </c>
      <c r="J23" s="9">
        <v>1</v>
      </c>
      <c r="K23" s="86">
        <f t="shared" si="1"/>
        <v>325500</v>
      </c>
      <c r="M23" s="87">
        <f t="shared" si="2"/>
        <v>511500</v>
      </c>
      <c r="O23" s="33"/>
      <c r="P23" s="51"/>
      <c r="Q23" s="11"/>
      <c r="S23" s="11"/>
      <c r="T23" s="11"/>
      <c r="U23" s="33"/>
      <c r="V23" s="11"/>
      <c r="W23" s="33"/>
      <c r="X23" s="11"/>
      <c r="Z23" s="52"/>
    </row>
    <row r="24" spans="3:26" ht="12.75">
      <c r="C24" s="31" t="s">
        <v>44</v>
      </c>
      <c r="D24" s="31"/>
      <c r="E24" s="32">
        <v>31</v>
      </c>
      <c r="F24" s="31"/>
      <c r="G24" s="9">
        <v>1</v>
      </c>
      <c r="H24" s="86">
        <f t="shared" si="0"/>
        <v>186000</v>
      </c>
      <c r="J24" s="9">
        <v>1</v>
      </c>
      <c r="K24" s="86">
        <f t="shared" si="1"/>
        <v>325500</v>
      </c>
      <c r="M24" s="87">
        <f t="shared" si="2"/>
        <v>511500</v>
      </c>
      <c r="O24" s="33"/>
      <c r="P24" s="51"/>
      <c r="Q24" s="11"/>
      <c r="S24" s="11"/>
      <c r="T24" s="11"/>
      <c r="U24" s="33"/>
      <c r="V24" s="11"/>
      <c r="W24" s="33"/>
      <c r="X24" s="11"/>
      <c r="Z24" s="52"/>
    </row>
    <row r="25" spans="3:26" ht="12.75">
      <c r="C25" s="31" t="s">
        <v>45</v>
      </c>
      <c r="D25" s="31"/>
      <c r="E25" s="32">
        <v>30</v>
      </c>
      <c r="F25" s="31"/>
      <c r="G25" s="9">
        <v>1</v>
      </c>
      <c r="H25" s="86">
        <f t="shared" si="0"/>
        <v>180000</v>
      </c>
      <c r="J25" s="9">
        <v>1</v>
      </c>
      <c r="K25" s="86">
        <f t="shared" si="1"/>
        <v>315000</v>
      </c>
      <c r="M25" s="87">
        <f t="shared" si="2"/>
        <v>495000</v>
      </c>
      <c r="O25" s="33"/>
      <c r="P25" s="51"/>
      <c r="Q25" s="11"/>
      <c r="S25" s="11"/>
      <c r="T25" s="11"/>
      <c r="U25" s="33"/>
      <c r="V25" s="11"/>
      <c r="W25" s="33"/>
      <c r="X25" s="11"/>
      <c r="Z25" s="52"/>
    </row>
    <row r="26" spans="3:26" ht="12.75">
      <c r="C26" s="31" t="s">
        <v>46</v>
      </c>
      <c r="D26" s="31"/>
      <c r="E26" s="32">
        <v>31</v>
      </c>
      <c r="F26" s="31"/>
      <c r="G26" s="9">
        <v>1</v>
      </c>
      <c r="H26" s="86">
        <f t="shared" si="0"/>
        <v>186000</v>
      </c>
      <c r="J26" s="9">
        <v>1</v>
      </c>
      <c r="K26" s="86">
        <f t="shared" si="1"/>
        <v>325500</v>
      </c>
      <c r="M26" s="87">
        <f t="shared" si="2"/>
        <v>511500</v>
      </c>
      <c r="O26" s="33"/>
      <c r="P26" s="51"/>
      <c r="Q26" s="11"/>
      <c r="S26" s="11"/>
      <c r="T26" s="11"/>
      <c r="U26" s="33"/>
      <c r="V26" s="11"/>
      <c r="W26" s="33"/>
      <c r="X26" s="11"/>
      <c r="Z26" s="52"/>
    </row>
    <row r="27" spans="3:26" ht="12.75">
      <c r="C27" s="31" t="s">
        <v>47</v>
      </c>
      <c r="D27" s="31"/>
      <c r="E27" s="32">
        <v>30</v>
      </c>
      <c r="F27" s="31"/>
      <c r="G27" s="9">
        <v>1</v>
      </c>
      <c r="H27" s="86">
        <f t="shared" si="0"/>
        <v>180000</v>
      </c>
      <c r="J27" s="9">
        <v>1</v>
      </c>
      <c r="K27" s="86">
        <f t="shared" si="1"/>
        <v>315000</v>
      </c>
      <c r="M27" s="87">
        <f t="shared" si="2"/>
        <v>495000</v>
      </c>
      <c r="O27" s="33"/>
      <c r="P27" s="51"/>
      <c r="Q27" s="11"/>
      <c r="S27" s="11"/>
      <c r="T27" s="11"/>
      <c r="U27" s="33"/>
      <c r="V27" s="11"/>
      <c r="W27" s="33"/>
      <c r="X27" s="11"/>
      <c r="Z27" s="52"/>
    </row>
    <row r="28" spans="3:26" ht="12.75">
      <c r="C28" s="31" t="s">
        <v>48</v>
      </c>
      <c r="D28" s="31"/>
      <c r="E28" s="32">
        <v>31</v>
      </c>
      <c r="F28" s="31"/>
      <c r="G28" s="9">
        <v>1</v>
      </c>
      <c r="H28" s="86">
        <f t="shared" si="0"/>
        <v>186000</v>
      </c>
      <c r="J28" s="9">
        <v>1</v>
      </c>
      <c r="K28" s="86">
        <f t="shared" si="1"/>
        <v>325500</v>
      </c>
      <c r="M28" s="87">
        <f t="shared" si="2"/>
        <v>511500</v>
      </c>
      <c r="O28" s="33"/>
      <c r="P28" s="51"/>
      <c r="Q28" s="11"/>
      <c r="S28" s="11"/>
      <c r="T28" s="11"/>
      <c r="U28" s="33"/>
      <c r="V28" s="11"/>
      <c r="W28" s="33"/>
      <c r="X28" s="11"/>
      <c r="Z28" s="52"/>
    </row>
    <row r="30" ht="12.75">
      <c r="V30" s="53"/>
    </row>
  </sheetData>
  <conditionalFormatting sqref="T17:T28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Y30"/>
  <sheetViews>
    <sheetView workbookViewId="0" topLeftCell="A1">
      <selection activeCell="B2" sqref="B2:R30"/>
    </sheetView>
  </sheetViews>
  <sheetFormatPr defaultColWidth="9.140625" defaultRowHeight="12.75"/>
  <cols>
    <col min="3" max="3" width="11.7109375" style="0" bestFit="1" customWidth="1"/>
    <col min="4" max="4" width="2.7109375" style="0" customWidth="1"/>
    <col min="5" max="5" width="10.57421875" style="0" customWidth="1"/>
    <col min="6" max="6" width="3.8515625" style="0" customWidth="1"/>
    <col min="7" max="7" width="15.28125" style="0" customWidth="1"/>
    <col min="8" max="8" width="13.7109375" style="0" customWidth="1"/>
    <col min="9" max="9" width="13.140625" style="0" customWidth="1"/>
    <col min="10" max="10" width="9.140625" style="1" customWidth="1"/>
    <col min="11" max="11" width="11.140625" style="0" customWidth="1"/>
    <col min="12" max="12" width="11.28125" style="0" customWidth="1"/>
    <col min="13" max="13" width="14.140625" style="0" customWidth="1"/>
    <col min="14" max="15" width="8.8515625" style="0" customWidth="1"/>
    <col min="16" max="16" width="2.7109375" style="0" customWidth="1"/>
    <col min="17" max="17" width="11.8515625" style="0" customWidth="1"/>
  </cols>
  <sheetData>
    <row r="2" ht="20.25">
      <c r="B2" s="2" t="s">
        <v>59</v>
      </c>
    </row>
    <row r="3" spans="7:9" ht="12.75">
      <c r="G3" s="3" t="s">
        <v>0</v>
      </c>
      <c r="H3" s="4">
        <v>0.003</v>
      </c>
      <c r="I3" t="s">
        <v>1</v>
      </c>
    </row>
    <row r="4" spans="7:15" ht="12.75">
      <c r="G4" s="3" t="s">
        <v>4</v>
      </c>
      <c r="H4" s="9">
        <v>10</v>
      </c>
      <c r="I4" t="s">
        <v>5</v>
      </c>
      <c r="M4" s="10" t="s">
        <v>66</v>
      </c>
      <c r="N4" s="64">
        <v>0.99</v>
      </c>
      <c r="O4" s="27" t="s">
        <v>36</v>
      </c>
    </row>
    <row r="5" spans="7:17" ht="12.75">
      <c r="G5" s="3" t="s">
        <v>7</v>
      </c>
      <c r="H5" s="9">
        <v>5</v>
      </c>
      <c r="I5" t="s">
        <v>5</v>
      </c>
      <c r="K5" s="10"/>
      <c r="L5" s="10"/>
      <c r="M5" s="10"/>
      <c r="N5" s="10"/>
      <c r="Q5" s="11"/>
    </row>
    <row r="6" spans="7:17" ht="12.75">
      <c r="G6" s="3" t="s">
        <v>9</v>
      </c>
      <c r="H6" s="9">
        <v>1</v>
      </c>
      <c r="I6" t="s">
        <v>5</v>
      </c>
      <c r="Q6" s="1"/>
    </row>
    <row r="7" spans="7:14" ht="12.75">
      <c r="G7" s="3" t="s">
        <v>13</v>
      </c>
      <c r="H7" s="9">
        <v>100</v>
      </c>
      <c r="I7" t="s">
        <v>5</v>
      </c>
      <c r="K7" s="10"/>
      <c r="L7" s="10"/>
      <c r="M7" s="10"/>
      <c r="N7" s="10"/>
    </row>
    <row r="9" spans="6:15" ht="12.75">
      <c r="F9" s="3"/>
      <c r="G9" s="3" t="s">
        <v>18</v>
      </c>
      <c r="H9" s="63">
        <v>2</v>
      </c>
      <c r="I9" t="s">
        <v>3</v>
      </c>
      <c r="N9" s="68" t="s">
        <v>69</v>
      </c>
      <c r="O9" s="68"/>
    </row>
    <row r="10" spans="14:15" ht="12.75">
      <c r="N10" s="27" t="s">
        <v>78</v>
      </c>
      <c r="O10" s="27" t="s">
        <v>79</v>
      </c>
    </row>
    <row r="11" spans="13:15" ht="12.75">
      <c r="M11" t="s">
        <v>80</v>
      </c>
      <c r="N11" s="70">
        <f>(T20-T19)/(S20-S19)</f>
        <v>0.4411764705882354</v>
      </c>
      <c r="O11" s="70">
        <f>T20-S20*N11</f>
        <v>0.05941176470588233</v>
      </c>
    </row>
    <row r="12" ht="13.5" thickBot="1"/>
    <row r="13" spans="11:20" ht="12.75">
      <c r="K13" s="1"/>
      <c r="L13" s="1"/>
      <c r="M13" s="1"/>
      <c r="N13" s="109" t="s">
        <v>123</v>
      </c>
      <c r="O13" s="1"/>
      <c r="P13" s="1"/>
      <c r="Q13" s="1"/>
      <c r="S13" s="100" t="s">
        <v>69</v>
      </c>
      <c r="T13" s="101"/>
    </row>
    <row r="14" spans="3:20" ht="37.5" customHeight="1">
      <c r="C14" s="20" t="s">
        <v>20</v>
      </c>
      <c r="D14" s="20"/>
      <c r="E14" s="20" t="s">
        <v>21</v>
      </c>
      <c r="F14" s="22"/>
      <c r="G14" s="21" t="s">
        <v>124</v>
      </c>
      <c r="H14" s="23" t="s">
        <v>102</v>
      </c>
      <c r="I14" s="23" t="s">
        <v>126</v>
      </c>
      <c r="J14" s="47"/>
      <c r="K14" s="21" t="s">
        <v>60</v>
      </c>
      <c r="L14" s="21" t="s">
        <v>61</v>
      </c>
      <c r="M14" s="21" t="s">
        <v>62</v>
      </c>
      <c r="N14" s="21" t="s">
        <v>63</v>
      </c>
      <c r="O14" s="21" t="s">
        <v>64</v>
      </c>
      <c r="P14" s="1"/>
      <c r="Q14" s="23" t="s">
        <v>103</v>
      </c>
      <c r="S14" s="90" t="s">
        <v>63</v>
      </c>
      <c r="T14" s="91" t="s">
        <v>64</v>
      </c>
    </row>
    <row r="15" spans="3:20" ht="12.75">
      <c r="C15" s="26"/>
      <c r="D15" s="26"/>
      <c r="E15" s="26"/>
      <c r="G15" s="27" t="s">
        <v>36</v>
      </c>
      <c r="H15" s="29" t="s">
        <v>35</v>
      </c>
      <c r="I15" s="29" t="s">
        <v>125</v>
      </c>
      <c r="J15" s="50"/>
      <c r="K15" s="27" t="s">
        <v>3</v>
      </c>
      <c r="L15" s="27" t="s">
        <v>36</v>
      </c>
      <c r="M15" s="27" t="s">
        <v>36</v>
      </c>
      <c r="N15" s="27" t="s">
        <v>65</v>
      </c>
      <c r="O15" s="27" t="s">
        <v>36</v>
      </c>
      <c r="P15" s="1"/>
      <c r="Q15" s="29" t="s">
        <v>35</v>
      </c>
      <c r="S15" s="92" t="s">
        <v>36</v>
      </c>
      <c r="T15" s="93" t="s">
        <v>36</v>
      </c>
    </row>
    <row r="16" spans="3:20" ht="12.75">
      <c r="C16" s="20"/>
      <c r="D16" s="20"/>
      <c r="E16" s="20"/>
      <c r="K16" s="27"/>
      <c r="P16" s="1"/>
      <c r="S16" s="92"/>
      <c r="T16" s="93"/>
    </row>
    <row r="17" spans="3:25" ht="12.75">
      <c r="C17" s="31" t="s">
        <v>37</v>
      </c>
      <c r="D17" s="31"/>
      <c r="E17" s="32">
        <v>31</v>
      </c>
      <c r="F17" s="33"/>
      <c r="G17" s="34">
        <f>$H$9*PI()*$H$3*(($H$4*$H$5)/LN($H$7/$H$6))</f>
        <v>0.2046564530762762</v>
      </c>
      <c r="H17" s="18">
        <f>G17*60*60*24*E17</f>
        <v>548151.8439194983</v>
      </c>
      <c r="I17" s="87" t="str">
        <f>IF(H17&lt;'Besoin Equivalent habitants'!M17,"NON","respectée")</f>
        <v>respectée</v>
      </c>
      <c r="J17" s="106"/>
      <c r="K17" s="16">
        <v>1.3</v>
      </c>
      <c r="L17" s="16">
        <f>$N$4</f>
        <v>0.99</v>
      </c>
      <c r="M17" s="19">
        <f>L17*K17</f>
        <v>1.287</v>
      </c>
      <c r="N17" s="19">
        <v>0.26</v>
      </c>
      <c r="O17" s="19">
        <f aca="true" t="shared" si="0" ref="O17:O28">N17*$N$11+$O$11</f>
        <v>0.17411764705882354</v>
      </c>
      <c r="P17" s="1"/>
      <c r="Q17" s="18">
        <f>(M17-O17)*60*60*24*E17</f>
        <v>2980744.094117647</v>
      </c>
      <c r="S17" s="94">
        <v>0.01</v>
      </c>
      <c r="T17" s="95">
        <v>0.05</v>
      </c>
      <c r="X17" s="30"/>
      <c r="Y17" s="30"/>
    </row>
    <row r="18" spans="3:25" ht="12.75">
      <c r="C18" s="31" t="s">
        <v>38</v>
      </c>
      <c r="D18" s="31"/>
      <c r="E18" s="32">
        <v>28</v>
      </c>
      <c r="F18" s="33"/>
      <c r="G18" s="34">
        <f aca="true" t="shared" si="1" ref="G18:G28">$H$9*PI()*$H$3*(($H$4*$H$5)/LN($H$7/$H$6))</f>
        <v>0.2046564530762762</v>
      </c>
      <c r="H18" s="18">
        <f aca="true" t="shared" si="2" ref="H18:H28">G18*60*60*24*E18</f>
        <v>495104.8912821274</v>
      </c>
      <c r="I18" s="87" t="str">
        <f>IF(H18&lt;'Besoin Equivalent habitants'!M18,"NON","respectée")</f>
        <v>respectée</v>
      </c>
      <c r="J18" s="106"/>
      <c r="K18" s="16">
        <v>1.69</v>
      </c>
      <c r="L18" s="16">
        <f aca="true" t="shared" si="3" ref="L18:L28">$N$4</f>
        <v>0.99</v>
      </c>
      <c r="M18" s="19">
        <f aca="true" t="shared" si="4" ref="M18:M28">L18*K18</f>
        <v>1.6731</v>
      </c>
      <c r="N18" s="19">
        <v>0.26</v>
      </c>
      <c r="O18" s="19">
        <f t="shared" si="0"/>
        <v>0.17411764705882354</v>
      </c>
      <c r="P18" s="1"/>
      <c r="Q18" s="18">
        <f aca="true" t="shared" si="5" ref="Q18:Q28">(M18-O18)*60*60*24*E18</f>
        <v>3626338.1082352945</v>
      </c>
      <c r="S18" s="94">
        <v>0.06</v>
      </c>
      <c r="T18" s="95">
        <v>0.05</v>
      </c>
      <c r="X18" s="30"/>
      <c r="Y18" s="30"/>
    </row>
    <row r="19" spans="3:25" ht="12.75">
      <c r="C19" s="31" t="s">
        <v>39</v>
      </c>
      <c r="D19" s="31"/>
      <c r="E19" s="32">
        <v>31</v>
      </c>
      <c r="F19" s="33"/>
      <c r="G19" s="34">
        <f t="shared" si="1"/>
        <v>0.2046564530762762</v>
      </c>
      <c r="H19" s="18">
        <f t="shared" si="2"/>
        <v>548151.8439194983</v>
      </c>
      <c r="I19" s="87" t="str">
        <f>IF(H19&lt;'Besoin Equivalent habitants'!M19,"NON","respectée")</f>
        <v>respectée</v>
      </c>
      <c r="J19" s="106"/>
      <c r="K19" s="16">
        <v>1.46</v>
      </c>
      <c r="L19" s="16">
        <f t="shared" si="3"/>
        <v>0.99</v>
      </c>
      <c r="M19" s="19">
        <f t="shared" si="4"/>
        <v>1.4454</v>
      </c>
      <c r="N19" s="19">
        <v>0.26</v>
      </c>
      <c r="O19" s="19">
        <f t="shared" si="0"/>
        <v>0.17411764705882354</v>
      </c>
      <c r="P19" s="1"/>
      <c r="Q19" s="18">
        <f t="shared" si="5"/>
        <v>3405002.6541176466</v>
      </c>
      <c r="S19" s="94">
        <v>0.16</v>
      </c>
      <c r="T19" s="95">
        <v>0.13</v>
      </c>
      <c r="X19" s="30"/>
      <c r="Y19" s="30"/>
    </row>
    <row r="20" spans="3:25" ht="12.75">
      <c r="C20" s="31" t="s">
        <v>40</v>
      </c>
      <c r="D20" s="31"/>
      <c r="E20" s="32">
        <v>30</v>
      </c>
      <c r="F20" s="33"/>
      <c r="G20" s="34">
        <f t="shared" si="1"/>
        <v>0.2046564530762762</v>
      </c>
      <c r="H20" s="18">
        <f t="shared" si="2"/>
        <v>530469.5263737079</v>
      </c>
      <c r="I20" s="87" t="str">
        <f>IF(H20&lt;'Besoin Equivalent habitants'!M20,"NON","respectée")</f>
        <v>respectée</v>
      </c>
      <c r="J20" s="106"/>
      <c r="K20" s="16">
        <v>1.11</v>
      </c>
      <c r="L20" s="16">
        <f t="shared" si="3"/>
        <v>0.99</v>
      </c>
      <c r="M20" s="19">
        <f t="shared" si="4"/>
        <v>1.0989</v>
      </c>
      <c r="N20" s="19">
        <v>0.26</v>
      </c>
      <c r="O20" s="19">
        <f t="shared" si="0"/>
        <v>0.17411764705882354</v>
      </c>
      <c r="P20" s="1"/>
      <c r="Q20" s="18">
        <f t="shared" si="5"/>
        <v>2397035.8588235294</v>
      </c>
      <c r="S20" s="94">
        <v>0.5</v>
      </c>
      <c r="T20" s="95">
        <v>0.28</v>
      </c>
      <c r="X20" s="30"/>
      <c r="Y20" s="30"/>
    </row>
    <row r="21" spans="3:25" ht="12.75">
      <c r="C21" s="31" t="s">
        <v>41</v>
      </c>
      <c r="D21" s="31"/>
      <c r="E21" s="32">
        <v>31</v>
      </c>
      <c r="F21" s="33"/>
      <c r="G21" s="34">
        <f t="shared" si="1"/>
        <v>0.2046564530762762</v>
      </c>
      <c r="H21" s="18">
        <f t="shared" si="2"/>
        <v>548151.8439194983</v>
      </c>
      <c r="I21" s="87" t="str">
        <f>IF(H21&lt;'Besoin Equivalent habitants'!M21,"NON","respectée")</f>
        <v>respectée</v>
      </c>
      <c r="J21" s="106"/>
      <c r="K21" s="16">
        <v>0.78</v>
      </c>
      <c r="L21" s="16">
        <f t="shared" si="3"/>
        <v>0.99</v>
      </c>
      <c r="M21" s="19">
        <f t="shared" si="4"/>
        <v>0.7722</v>
      </c>
      <c r="N21" s="19">
        <v>0.26</v>
      </c>
      <c r="O21" s="19">
        <f t="shared" si="0"/>
        <v>0.17411764705882354</v>
      </c>
      <c r="P21" s="1"/>
      <c r="Q21" s="18">
        <f t="shared" si="5"/>
        <v>1601903.774117647</v>
      </c>
      <c r="S21" s="94">
        <v>2.5</v>
      </c>
      <c r="T21" s="95">
        <v>0.9</v>
      </c>
      <c r="X21" s="30"/>
      <c r="Y21" s="30"/>
    </row>
    <row r="22" spans="3:25" ht="12.75">
      <c r="C22" s="31" t="s">
        <v>42</v>
      </c>
      <c r="D22" s="31"/>
      <c r="E22" s="32">
        <v>30</v>
      </c>
      <c r="F22" s="33"/>
      <c r="G22" s="34">
        <f t="shared" si="1"/>
        <v>0.2046564530762762</v>
      </c>
      <c r="H22" s="18">
        <f t="shared" si="2"/>
        <v>530469.5263737079</v>
      </c>
      <c r="I22" s="87" t="str">
        <f>IF(H22&lt;'Besoin Equivalent habitants'!M22,"NON","respectée")</f>
        <v>respectée</v>
      </c>
      <c r="J22" s="106"/>
      <c r="K22" s="16">
        <v>0.72</v>
      </c>
      <c r="L22" s="16">
        <f t="shared" si="3"/>
        <v>0.99</v>
      </c>
      <c r="M22" s="19">
        <f t="shared" si="4"/>
        <v>0.7128</v>
      </c>
      <c r="N22" s="19">
        <v>0.26</v>
      </c>
      <c r="O22" s="19">
        <f t="shared" si="0"/>
        <v>0.17411764705882354</v>
      </c>
      <c r="P22" s="1"/>
      <c r="Q22" s="18">
        <f t="shared" si="5"/>
        <v>1396264.6588235293</v>
      </c>
      <c r="S22" s="94">
        <v>10</v>
      </c>
      <c r="T22" s="95">
        <v>2.5</v>
      </c>
      <c r="X22" s="30"/>
      <c r="Y22" s="30"/>
    </row>
    <row r="23" spans="3:25" ht="12.75">
      <c r="C23" s="31" t="s">
        <v>43</v>
      </c>
      <c r="D23" s="31"/>
      <c r="E23" s="32">
        <v>31</v>
      </c>
      <c r="F23" s="33"/>
      <c r="G23" s="34">
        <f t="shared" si="1"/>
        <v>0.2046564530762762</v>
      </c>
      <c r="H23" s="18">
        <f t="shared" si="2"/>
        <v>548151.8439194983</v>
      </c>
      <c r="I23" s="87" t="str">
        <f>IF(H23&lt;'Besoin Equivalent habitants'!M23,"NON","respectée")</f>
        <v>respectée</v>
      </c>
      <c r="J23" s="106"/>
      <c r="K23" s="16">
        <v>0.61</v>
      </c>
      <c r="L23" s="16">
        <f>$N$4</f>
        <v>0.99</v>
      </c>
      <c r="M23" s="19">
        <f t="shared" si="4"/>
        <v>0.6039</v>
      </c>
      <c r="N23" s="19">
        <v>0.26</v>
      </c>
      <c r="O23" s="19">
        <f t="shared" si="0"/>
        <v>0.17411764705882354</v>
      </c>
      <c r="P23" s="1"/>
      <c r="Q23" s="18">
        <f t="shared" si="5"/>
        <v>1151129.0541176472</v>
      </c>
      <c r="S23" s="94">
        <v>60</v>
      </c>
      <c r="T23" s="95">
        <v>10</v>
      </c>
      <c r="X23" s="30"/>
      <c r="Y23" s="30"/>
    </row>
    <row r="24" spans="3:25" ht="12.75">
      <c r="C24" s="31" t="s">
        <v>44</v>
      </c>
      <c r="D24" s="31"/>
      <c r="E24" s="32">
        <v>31</v>
      </c>
      <c r="F24" s="33"/>
      <c r="G24" s="34">
        <f t="shared" si="1"/>
        <v>0.2046564530762762</v>
      </c>
      <c r="H24" s="18">
        <f t="shared" si="2"/>
        <v>548151.8439194983</v>
      </c>
      <c r="I24" s="87" t="str">
        <f>IF(H24&lt;'Besoin Equivalent habitants'!M24,"NON","respectée")</f>
        <v>respectée</v>
      </c>
      <c r="J24" s="106"/>
      <c r="K24" s="16">
        <v>0.61</v>
      </c>
      <c r="L24" s="16">
        <f t="shared" si="3"/>
        <v>0.99</v>
      </c>
      <c r="M24" s="19">
        <f t="shared" si="4"/>
        <v>0.6039</v>
      </c>
      <c r="N24" s="19">
        <v>0.26</v>
      </c>
      <c r="O24" s="19">
        <f t="shared" si="0"/>
        <v>0.17411764705882354</v>
      </c>
      <c r="P24" s="1"/>
      <c r="Q24" s="18">
        <f t="shared" si="5"/>
        <v>1151129.0541176472</v>
      </c>
      <c r="S24" s="94">
        <v>1000</v>
      </c>
      <c r="T24" s="95">
        <v>10</v>
      </c>
      <c r="X24" s="30"/>
      <c r="Y24" s="30"/>
    </row>
    <row r="25" spans="3:20" ht="12.75">
      <c r="C25" s="31" t="s">
        <v>45</v>
      </c>
      <c r="D25" s="31"/>
      <c r="E25" s="32">
        <v>30</v>
      </c>
      <c r="F25" s="33"/>
      <c r="G25" s="34">
        <f t="shared" si="1"/>
        <v>0.2046564530762762</v>
      </c>
      <c r="H25" s="18">
        <f t="shared" si="2"/>
        <v>530469.5263737079</v>
      </c>
      <c r="I25" s="87" t="str">
        <f>IF(H25&lt;'Besoin Equivalent habitants'!M25,"NON","respectée")</f>
        <v>respectée</v>
      </c>
      <c r="J25" s="106"/>
      <c r="K25" s="16">
        <v>0.63</v>
      </c>
      <c r="L25" s="16">
        <f t="shared" si="3"/>
        <v>0.99</v>
      </c>
      <c r="M25" s="19">
        <f t="shared" si="4"/>
        <v>0.6237</v>
      </c>
      <c r="N25" s="19">
        <v>0.26</v>
      </c>
      <c r="O25" s="19">
        <f t="shared" si="0"/>
        <v>0.17411764705882354</v>
      </c>
      <c r="P25" s="1"/>
      <c r="Q25" s="18">
        <f t="shared" si="5"/>
        <v>1165317.4588235295</v>
      </c>
      <c r="S25" s="96"/>
      <c r="T25" s="97"/>
    </row>
    <row r="26" spans="3:20" ht="12.75">
      <c r="C26" s="31" t="s">
        <v>46</v>
      </c>
      <c r="D26" s="31"/>
      <c r="E26" s="32">
        <v>31</v>
      </c>
      <c r="F26" s="33"/>
      <c r="G26" s="34">
        <f t="shared" si="1"/>
        <v>0.2046564530762762</v>
      </c>
      <c r="H26" s="18">
        <f t="shared" si="2"/>
        <v>548151.8439194983</v>
      </c>
      <c r="I26" s="87" t="str">
        <f>IF(H26&lt;'Besoin Equivalent habitants'!M26,"NON","respectée")</f>
        <v>respectée</v>
      </c>
      <c r="J26" s="106"/>
      <c r="K26" s="16">
        <v>0.72</v>
      </c>
      <c r="L26" s="16">
        <f t="shared" si="3"/>
        <v>0.99</v>
      </c>
      <c r="M26" s="19">
        <f t="shared" si="4"/>
        <v>0.7128</v>
      </c>
      <c r="N26" s="19">
        <v>0.26</v>
      </c>
      <c r="O26" s="19">
        <f t="shared" si="0"/>
        <v>0.17411764705882354</v>
      </c>
      <c r="P26" s="1"/>
      <c r="Q26" s="18">
        <f t="shared" si="5"/>
        <v>1442806.8141176468</v>
      </c>
      <c r="S26" s="102"/>
      <c r="T26" s="103"/>
    </row>
    <row r="27" spans="3:20" ht="12.75">
      <c r="C27" s="31" t="s">
        <v>47</v>
      </c>
      <c r="D27" s="31"/>
      <c r="E27" s="32">
        <v>30</v>
      </c>
      <c r="F27" s="33"/>
      <c r="G27" s="34">
        <f t="shared" si="1"/>
        <v>0.2046564530762762</v>
      </c>
      <c r="H27" s="18">
        <f t="shared" si="2"/>
        <v>530469.5263737079</v>
      </c>
      <c r="I27" s="87" t="str">
        <f>IF(H27&lt;'Besoin Equivalent habitants'!M27,"NON","respectée")</f>
        <v>respectée</v>
      </c>
      <c r="J27" s="106"/>
      <c r="K27" s="16">
        <v>1.11</v>
      </c>
      <c r="L27" s="16">
        <f t="shared" si="3"/>
        <v>0.99</v>
      </c>
      <c r="M27" s="19">
        <f t="shared" si="4"/>
        <v>1.0989</v>
      </c>
      <c r="N27" s="19">
        <v>0.26</v>
      </c>
      <c r="O27" s="19">
        <f t="shared" si="0"/>
        <v>0.17411764705882354</v>
      </c>
      <c r="P27" s="1"/>
      <c r="Q27" s="18">
        <f t="shared" si="5"/>
        <v>2397035.8588235294</v>
      </c>
      <c r="S27" s="104"/>
      <c r="T27" s="105"/>
    </row>
    <row r="28" spans="3:20" ht="13.5" thickBot="1">
      <c r="C28" s="31" t="s">
        <v>48</v>
      </c>
      <c r="D28" s="31"/>
      <c r="E28" s="32">
        <v>31</v>
      </c>
      <c r="F28" s="33"/>
      <c r="G28" s="34">
        <f t="shared" si="1"/>
        <v>0.2046564530762762</v>
      </c>
      <c r="H28" s="18">
        <f t="shared" si="2"/>
        <v>548151.8439194983</v>
      </c>
      <c r="I28" s="87" t="str">
        <f>IF(H28&lt;'Besoin Equivalent habitants'!M28,"NON","respectée")</f>
        <v>respectée</v>
      </c>
      <c r="J28" s="106"/>
      <c r="K28" s="16">
        <v>1.26</v>
      </c>
      <c r="L28" s="16">
        <f t="shared" si="3"/>
        <v>0.99</v>
      </c>
      <c r="M28" s="19">
        <f t="shared" si="4"/>
        <v>1.2474</v>
      </c>
      <c r="N28" s="19">
        <v>0.26</v>
      </c>
      <c r="O28" s="19">
        <f t="shared" si="0"/>
        <v>0.17411764705882354</v>
      </c>
      <c r="P28" s="1"/>
      <c r="Q28" s="18">
        <f t="shared" si="5"/>
        <v>2874679.4541176474</v>
      </c>
      <c r="S28" s="98"/>
      <c r="T28" s="99"/>
    </row>
    <row r="30" ht="12.75">
      <c r="M30" s="36"/>
    </row>
  </sheetData>
  <conditionalFormatting sqref="K17:K28">
    <cfRule type="cellIs" priority="1" dxfId="0" operator="lessThan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P30"/>
  <sheetViews>
    <sheetView tabSelected="1" workbookViewId="0" topLeftCell="A1">
      <selection activeCell="I3" sqref="I3"/>
    </sheetView>
  </sheetViews>
  <sheetFormatPr defaultColWidth="9.140625" defaultRowHeight="12.75"/>
  <cols>
    <col min="2" max="2" width="2.8515625" style="0" customWidth="1"/>
    <col min="3" max="3" width="11.7109375" style="0" bestFit="1" customWidth="1"/>
    <col min="4" max="4" width="2.7109375" style="0" customWidth="1"/>
    <col min="5" max="5" width="5.8515625" style="0" customWidth="1"/>
    <col min="6" max="6" width="2.7109375" style="0" customWidth="1"/>
    <col min="7" max="7" width="12.00390625" style="0" customWidth="1"/>
    <col min="8" max="8" width="11.28125" style="0" customWidth="1"/>
    <col min="9" max="9" width="3.421875" style="1" customWidth="1"/>
    <col min="10" max="10" width="14.140625" style="0" customWidth="1"/>
    <col min="11" max="11" width="11.28125" style="0" customWidth="1"/>
    <col min="12" max="12" width="4.140625" style="0" customWidth="1"/>
    <col min="13" max="13" width="14.140625" style="0" customWidth="1"/>
    <col min="14" max="14" width="11.7109375" style="0" customWidth="1"/>
    <col min="15" max="15" width="3.28125" style="0" customWidth="1"/>
    <col min="16" max="16" width="17.00390625" style="0" customWidth="1"/>
  </cols>
  <sheetData>
    <row r="2" ht="20.25">
      <c r="B2" s="2" t="s">
        <v>129</v>
      </c>
    </row>
    <row r="3" spans="5:7" ht="12.75">
      <c r="E3" s="1"/>
      <c r="F3" s="1"/>
      <c r="G3" s="1"/>
    </row>
    <row r="4" spans="5:7" ht="12.75">
      <c r="E4" s="1"/>
      <c r="F4" s="1"/>
      <c r="G4" s="1"/>
    </row>
    <row r="5" spans="5:16" ht="12.75">
      <c r="E5" s="1"/>
      <c r="F5" s="1"/>
      <c r="G5" s="1"/>
      <c r="J5" s="10"/>
      <c r="K5" s="10"/>
      <c r="L5" s="10"/>
      <c r="M5" s="10"/>
      <c r="N5" s="10"/>
      <c r="P5" s="11"/>
    </row>
    <row r="6" spans="5:16" ht="12.75">
      <c r="E6" s="1"/>
      <c r="F6" s="1"/>
      <c r="G6" s="1"/>
      <c r="P6" s="1"/>
    </row>
    <row r="7" spans="5:14" ht="12.75">
      <c r="E7" s="1"/>
      <c r="F7" s="1"/>
      <c r="G7" s="1"/>
      <c r="J7" s="10"/>
      <c r="K7" s="10"/>
      <c r="L7" s="10"/>
      <c r="M7" s="10"/>
      <c r="N7" s="10"/>
    </row>
    <row r="8" spans="5:7" ht="12.75">
      <c r="E8" s="1"/>
      <c r="F8" s="1"/>
      <c r="G8" s="1"/>
    </row>
    <row r="9" spans="5:7" ht="12.75">
      <c r="E9" s="1"/>
      <c r="F9" s="41"/>
      <c r="G9" s="1"/>
    </row>
    <row r="10" spans="5:7" ht="12.75">
      <c r="E10" s="1"/>
      <c r="F10" s="1"/>
      <c r="G10" s="1"/>
    </row>
    <row r="11" spans="5:7" ht="12.75">
      <c r="E11" s="1"/>
      <c r="F11" s="1"/>
      <c r="G11" s="1"/>
    </row>
    <row r="12" spans="5:14" ht="12.75">
      <c r="E12" s="1"/>
      <c r="F12" s="1"/>
      <c r="G12" s="122" t="s">
        <v>115</v>
      </c>
      <c r="H12" s="122"/>
      <c r="I12" s="39"/>
      <c r="J12" s="122" t="s">
        <v>114</v>
      </c>
      <c r="K12" s="122"/>
      <c r="L12" s="67"/>
      <c r="M12" s="67" t="s">
        <v>116</v>
      </c>
      <c r="N12" s="67"/>
    </row>
    <row r="13" ht="12.75">
      <c r="M13" s="73" t="s">
        <v>81</v>
      </c>
    </row>
    <row r="14" spans="3:16" ht="51">
      <c r="C14" s="20" t="s">
        <v>20</v>
      </c>
      <c r="D14" s="20"/>
      <c r="E14" s="21" t="s">
        <v>21</v>
      </c>
      <c r="F14" s="20"/>
      <c r="G14" s="21" t="s">
        <v>102</v>
      </c>
      <c r="H14" s="21" t="s">
        <v>103</v>
      </c>
      <c r="I14" s="24"/>
      <c r="J14" s="21" t="s">
        <v>113</v>
      </c>
      <c r="K14" s="21" t="s">
        <v>112</v>
      </c>
      <c r="L14" s="22"/>
      <c r="M14" s="61" t="s">
        <v>32</v>
      </c>
      <c r="N14" s="23" t="s">
        <v>33</v>
      </c>
      <c r="P14" s="25" t="s">
        <v>34</v>
      </c>
    </row>
    <row r="15" spans="3:14" ht="12.75">
      <c r="C15" s="26"/>
      <c r="D15" s="26"/>
      <c r="E15" s="26"/>
      <c r="F15" s="26"/>
      <c r="G15" s="27" t="s">
        <v>35</v>
      </c>
      <c r="H15" s="27" t="s">
        <v>35</v>
      </c>
      <c r="I15" s="30"/>
      <c r="J15" s="28" t="s">
        <v>35</v>
      </c>
      <c r="K15" s="28" t="s">
        <v>35</v>
      </c>
      <c r="M15" s="28" t="s">
        <v>35</v>
      </c>
      <c r="N15" s="29" t="s">
        <v>35</v>
      </c>
    </row>
    <row r="16" spans="3:6" ht="12.75">
      <c r="C16" s="20"/>
      <c r="D16" s="20"/>
      <c r="E16" s="20"/>
      <c r="F16" s="20"/>
    </row>
    <row r="17" spans="3:16" ht="12.75">
      <c r="C17" s="31" t="s">
        <v>37</v>
      </c>
      <c r="D17" s="31"/>
      <c r="E17" s="32">
        <v>31</v>
      </c>
      <c r="F17" s="31"/>
      <c r="G17" s="18">
        <f>'Offre en eau'!H17</f>
        <v>548151.8439194983</v>
      </c>
      <c r="H17" s="18">
        <f>'Offre en eau'!Q17</f>
        <v>2980744.094117647</v>
      </c>
      <c r="I17" s="33"/>
      <c r="J17" s="18">
        <f>'Besoin Equivalent habitants'!M17</f>
        <v>511500</v>
      </c>
      <c r="K17" s="18">
        <f>'Besoin en eau agriculture'!AC17</f>
        <v>0</v>
      </c>
      <c r="L17" s="33"/>
      <c r="M17" s="18">
        <f aca="true" t="shared" si="0" ref="M17:M28">G17-J17</f>
        <v>36651.843919498264</v>
      </c>
      <c r="N17" s="18">
        <f aca="true" t="shared" si="1" ref="N17:N28">IF(AND(K17&gt;0,K17-M17&gt;=0),K17-M17,0)</f>
        <v>0</v>
      </c>
      <c r="P17" s="35" t="str">
        <f aca="true" t="shared" si="2" ref="P17:P28">IF(N17&gt;H17,"IMPOSSIBLE","POSSIBLE")</f>
        <v>POSSIBLE</v>
      </c>
    </row>
    <row r="18" spans="3:16" ht="12.75">
      <c r="C18" s="31" t="s">
        <v>38</v>
      </c>
      <c r="D18" s="31"/>
      <c r="E18" s="32">
        <v>28</v>
      </c>
      <c r="F18" s="31"/>
      <c r="G18" s="18">
        <f>'Offre en eau'!H18</f>
        <v>495104.8912821274</v>
      </c>
      <c r="H18" s="18">
        <f>'Offre en eau'!Q18</f>
        <v>3626338.1082352945</v>
      </c>
      <c r="I18" s="33"/>
      <c r="J18" s="18">
        <f>'Besoin Equivalent habitants'!M18</f>
        <v>462000</v>
      </c>
      <c r="K18" s="18">
        <f>'Besoin en eau agriculture'!AC18</f>
        <v>0</v>
      </c>
      <c r="L18" s="33"/>
      <c r="M18" s="18">
        <f t="shared" si="0"/>
        <v>33104.89128212741</v>
      </c>
      <c r="N18" s="18">
        <f t="shared" si="1"/>
        <v>0</v>
      </c>
      <c r="P18" s="35" t="str">
        <f t="shared" si="2"/>
        <v>POSSIBLE</v>
      </c>
    </row>
    <row r="19" spans="3:16" ht="12.75">
      <c r="C19" s="31" t="s">
        <v>39</v>
      </c>
      <c r="D19" s="31"/>
      <c r="E19" s="32">
        <v>31</v>
      </c>
      <c r="F19" s="31"/>
      <c r="G19" s="18">
        <f>'Offre en eau'!H19</f>
        <v>548151.8439194983</v>
      </c>
      <c r="H19" s="18">
        <f>'Offre en eau'!Q19</f>
        <v>3405002.6541176466</v>
      </c>
      <c r="I19" s="33"/>
      <c r="J19" s="18">
        <f>'Besoin Equivalent habitants'!M19</f>
        <v>511500</v>
      </c>
      <c r="K19" s="18">
        <f>'Besoin en eau agriculture'!AC19</f>
        <v>0</v>
      </c>
      <c r="L19" s="33"/>
      <c r="M19" s="18">
        <f t="shared" si="0"/>
        <v>36651.843919498264</v>
      </c>
      <c r="N19" s="18">
        <f t="shared" si="1"/>
        <v>0</v>
      </c>
      <c r="P19" s="35" t="str">
        <f t="shared" si="2"/>
        <v>POSSIBLE</v>
      </c>
    </row>
    <row r="20" spans="3:16" ht="12.75">
      <c r="C20" s="31" t="s">
        <v>40</v>
      </c>
      <c r="D20" s="31"/>
      <c r="E20" s="32">
        <v>30</v>
      </c>
      <c r="F20" s="31"/>
      <c r="G20" s="18">
        <f>'Offre en eau'!H20</f>
        <v>530469.5263737079</v>
      </c>
      <c r="H20" s="18">
        <f>'Offre en eau'!Q20</f>
        <v>2397035.8588235294</v>
      </c>
      <c r="I20" s="33"/>
      <c r="J20" s="18">
        <f>'Besoin Equivalent habitants'!M20</f>
        <v>495000</v>
      </c>
      <c r="K20" s="18">
        <f>'Besoin en eau agriculture'!AC20</f>
        <v>0</v>
      </c>
      <c r="L20" s="33"/>
      <c r="M20" s="18">
        <f t="shared" si="0"/>
        <v>35469.52637370792</v>
      </c>
      <c r="N20" s="18">
        <f t="shared" si="1"/>
        <v>0</v>
      </c>
      <c r="P20" s="35" t="str">
        <f t="shared" si="2"/>
        <v>POSSIBLE</v>
      </c>
    </row>
    <row r="21" spans="3:16" ht="12.75">
      <c r="C21" s="31" t="s">
        <v>41</v>
      </c>
      <c r="D21" s="31"/>
      <c r="E21" s="32">
        <v>31</v>
      </c>
      <c r="F21" s="31"/>
      <c r="G21" s="18">
        <f>'Offre en eau'!H21</f>
        <v>548151.8439194983</v>
      </c>
      <c r="H21" s="18">
        <f>'Offre en eau'!Q21</f>
        <v>1601903.774117647</v>
      </c>
      <c r="I21" s="33"/>
      <c r="J21" s="18">
        <f>'Besoin Equivalent habitants'!M21</f>
        <v>511500</v>
      </c>
      <c r="K21" s="18">
        <f>'Besoin en eau agriculture'!AC21</f>
        <v>0</v>
      </c>
      <c r="L21" s="33"/>
      <c r="M21" s="18">
        <f t="shared" si="0"/>
        <v>36651.843919498264</v>
      </c>
      <c r="N21" s="18">
        <f t="shared" si="1"/>
        <v>0</v>
      </c>
      <c r="P21" s="35" t="str">
        <f t="shared" si="2"/>
        <v>POSSIBLE</v>
      </c>
    </row>
    <row r="22" spans="3:16" ht="12.75">
      <c r="C22" s="31" t="s">
        <v>42</v>
      </c>
      <c r="D22" s="31"/>
      <c r="E22" s="32">
        <v>30</v>
      </c>
      <c r="F22" s="31"/>
      <c r="G22" s="18">
        <f>'Offre en eau'!H22</f>
        <v>530469.5263737079</v>
      </c>
      <c r="H22" s="18">
        <f>'Offre en eau'!Q22</f>
        <v>1396264.6588235293</v>
      </c>
      <c r="I22" s="33"/>
      <c r="J22" s="18">
        <f>'Besoin Equivalent habitants'!M22</f>
        <v>495000</v>
      </c>
      <c r="K22" s="18">
        <f>'Besoin en eau agriculture'!AC22</f>
        <v>231502.7216680195</v>
      </c>
      <c r="L22" s="33"/>
      <c r="M22" s="18">
        <f t="shared" si="0"/>
        <v>35469.52637370792</v>
      </c>
      <c r="N22" s="18">
        <f t="shared" si="1"/>
        <v>196033.1952943116</v>
      </c>
      <c r="O22" s="37"/>
      <c r="P22" s="35" t="str">
        <f t="shared" si="2"/>
        <v>POSSIBLE</v>
      </c>
    </row>
    <row r="23" spans="3:16" ht="12.75">
      <c r="C23" s="31" t="s">
        <v>43</v>
      </c>
      <c r="D23" s="31"/>
      <c r="E23" s="32">
        <v>31</v>
      </c>
      <c r="F23" s="31"/>
      <c r="G23" s="18">
        <f>'Offre en eau'!H23</f>
        <v>548151.8439194983</v>
      </c>
      <c r="H23" s="18">
        <f>'Offre en eau'!Q23</f>
        <v>1151129.0541176472</v>
      </c>
      <c r="I23" s="33"/>
      <c r="J23" s="18">
        <f>'Besoin Equivalent habitants'!M23</f>
        <v>511500</v>
      </c>
      <c r="K23" s="18">
        <f>'Besoin en eau agriculture'!AC23</f>
        <v>1156422.2725895646</v>
      </c>
      <c r="L23" s="33"/>
      <c r="M23" s="18">
        <f t="shared" si="0"/>
        <v>36651.843919498264</v>
      </c>
      <c r="N23" s="18">
        <f t="shared" si="1"/>
        <v>1119770.4286700664</v>
      </c>
      <c r="P23" s="35" t="str">
        <f t="shared" si="2"/>
        <v>POSSIBLE</v>
      </c>
    </row>
    <row r="24" spans="3:16" ht="12.75">
      <c r="C24" s="31" t="s">
        <v>44</v>
      </c>
      <c r="D24" s="31"/>
      <c r="E24" s="32">
        <v>31</v>
      </c>
      <c r="F24" s="31"/>
      <c r="G24" s="18">
        <f>'Offre en eau'!H24</f>
        <v>548151.8439194983</v>
      </c>
      <c r="H24" s="18">
        <f>'Offre en eau'!Q24</f>
        <v>1151129.0541176472</v>
      </c>
      <c r="I24" s="33"/>
      <c r="J24" s="18">
        <f>'Besoin Equivalent habitants'!M24</f>
        <v>511500</v>
      </c>
      <c r="K24" s="18">
        <f>'Besoin en eau agriculture'!AC24</f>
        <v>651508.8772257449</v>
      </c>
      <c r="L24" s="33"/>
      <c r="M24" s="18">
        <f t="shared" si="0"/>
        <v>36651.843919498264</v>
      </c>
      <c r="N24" s="18">
        <f t="shared" si="1"/>
        <v>614857.0333062466</v>
      </c>
      <c r="P24" s="35" t="str">
        <f t="shared" si="2"/>
        <v>POSSIBLE</v>
      </c>
    </row>
    <row r="25" spans="3:16" ht="12.75">
      <c r="C25" s="31" t="s">
        <v>45</v>
      </c>
      <c r="D25" s="31"/>
      <c r="E25" s="32">
        <v>30</v>
      </c>
      <c r="F25" s="31"/>
      <c r="G25" s="18">
        <f>'Offre en eau'!H25</f>
        <v>530469.5263737079</v>
      </c>
      <c r="H25" s="18">
        <f>'Offre en eau'!Q25</f>
        <v>1165317.4588235295</v>
      </c>
      <c r="I25" s="33"/>
      <c r="J25" s="18">
        <f>'Besoin Equivalent habitants'!M25</f>
        <v>495000</v>
      </c>
      <c r="K25" s="18">
        <f>'Besoin en eau agriculture'!AC25</f>
        <v>0</v>
      </c>
      <c r="L25" s="33"/>
      <c r="M25" s="18">
        <f t="shared" si="0"/>
        <v>35469.52637370792</v>
      </c>
      <c r="N25" s="18">
        <f t="shared" si="1"/>
        <v>0</v>
      </c>
      <c r="P25" s="35" t="str">
        <f t="shared" si="2"/>
        <v>POSSIBLE</v>
      </c>
    </row>
    <row r="26" spans="3:16" ht="12.75">
      <c r="C26" s="31" t="s">
        <v>46</v>
      </c>
      <c r="D26" s="31"/>
      <c r="E26" s="32">
        <v>31</v>
      </c>
      <c r="F26" s="31"/>
      <c r="G26" s="18">
        <f>'Offre en eau'!H26</f>
        <v>548151.8439194983</v>
      </c>
      <c r="H26" s="18">
        <f>'Offre en eau'!Q26</f>
        <v>1442806.8141176468</v>
      </c>
      <c r="I26" s="33"/>
      <c r="J26" s="18">
        <f>'Besoin Equivalent habitants'!M26</f>
        <v>511500</v>
      </c>
      <c r="K26" s="18">
        <f>'Besoin en eau agriculture'!AC26</f>
        <v>0</v>
      </c>
      <c r="L26" s="33"/>
      <c r="M26" s="18">
        <f t="shared" si="0"/>
        <v>36651.843919498264</v>
      </c>
      <c r="N26" s="18">
        <f t="shared" si="1"/>
        <v>0</v>
      </c>
      <c r="P26" s="35" t="str">
        <f t="shared" si="2"/>
        <v>POSSIBLE</v>
      </c>
    </row>
    <row r="27" spans="3:16" ht="12.75">
      <c r="C27" s="31" t="s">
        <v>47</v>
      </c>
      <c r="D27" s="31"/>
      <c r="E27" s="32">
        <v>30</v>
      </c>
      <c r="F27" s="31"/>
      <c r="G27" s="18">
        <f>'Offre en eau'!H27</f>
        <v>530469.5263737079</v>
      </c>
      <c r="H27" s="18">
        <f>'Offre en eau'!Q27</f>
        <v>2397035.8588235294</v>
      </c>
      <c r="I27" s="33"/>
      <c r="J27" s="18">
        <f>'Besoin Equivalent habitants'!M27</f>
        <v>495000</v>
      </c>
      <c r="K27" s="18">
        <f>'Besoin en eau agriculture'!AC27</f>
        <v>0</v>
      </c>
      <c r="L27" s="33"/>
      <c r="M27" s="18">
        <f t="shared" si="0"/>
        <v>35469.52637370792</v>
      </c>
      <c r="N27" s="18">
        <f t="shared" si="1"/>
        <v>0</v>
      </c>
      <c r="P27" s="35" t="str">
        <f t="shared" si="2"/>
        <v>POSSIBLE</v>
      </c>
    </row>
    <row r="28" spans="3:16" ht="12.75">
      <c r="C28" s="31" t="s">
        <v>48</v>
      </c>
      <c r="D28" s="31"/>
      <c r="E28" s="32">
        <v>31</v>
      </c>
      <c r="F28" s="31"/>
      <c r="G28" s="18">
        <f>'Offre en eau'!H28</f>
        <v>548151.8439194983</v>
      </c>
      <c r="H28" s="18">
        <f>'Offre en eau'!Q28</f>
        <v>2874679.4541176474</v>
      </c>
      <c r="I28" s="33"/>
      <c r="J28" s="18">
        <f>'Besoin Equivalent habitants'!M28</f>
        <v>511500</v>
      </c>
      <c r="K28" s="18">
        <f>'Besoin en eau agriculture'!AC28</f>
        <v>0</v>
      </c>
      <c r="L28" s="33"/>
      <c r="M28" s="18">
        <f t="shared" si="0"/>
        <v>36651.843919498264</v>
      </c>
      <c r="N28" s="18">
        <f t="shared" si="1"/>
        <v>0</v>
      </c>
      <c r="P28" s="35" t="str">
        <f t="shared" si="2"/>
        <v>POSSIBLE</v>
      </c>
    </row>
    <row r="30" ht="12.75">
      <c r="N30" s="36"/>
    </row>
  </sheetData>
  <mergeCells count="2">
    <mergeCell ref="G12:H12"/>
    <mergeCell ref="J12:K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2:BV61"/>
  <sheetViews>
    <sheetView zoomScale="75" zoomScaleNormal="75" workbookViewId="0" topLeftCell="AD1">
      <pane xSplit="18780" topLeftCell="BR30" activePane="topLeft" state="split"/>
      <selection pane="topLeft" activeCell="AU52" sqref="AU52"/>
      <selection pane="topRight" activeCell="BV17" sqref="BV17"/>
    </sheetView>
  </sheetViews>
  <sheetFormatPr defaultColWidth="9.140625" defaultRowHeight="12.75"/>
  <cols>
    <col min="2" max="2" width="9.8515625" style="0" customWidth="1"/>
    <col min="3" max="3" width="11.7109375" style="0" bestFit="1" customWidth="1"/>
    <col min="4" max="4" width="2.7109375" style="0" customWidth="1"/>
    <col min="5" max="5" width="4.7109375" style="0" customWidth="1"/>
    <col min="6" max="6" width="2.7109375" style="0" customWidth="1"/>
    <col min="7" max="7" width="10.421875" style="0" customWidth="1"/>
    <col min="8" max="8" width="12.140625" style="0" bestFit="1" customWidth="1"/>
    <col min="9" max="11" width="9.421875" style="0" customWidth="1"/>
    <col min="12" max="12" width="9.421875" style="0" bestFit="1" customWidth="1"/>
    <col min="13" max="13" width="4.140625" style="1" customWidth="1"/>
    <col min="14" max="16" width="10.7109375" style="0" customWidth="1"/>
    <col min="17" max="17" width="4.7109375" style="1" customWidth="1"/>
    <col min="18" max="18" width="9.421875" style="1" customWidth="1"/>
    <col min="19" max="19" width="10.00390625" style="1" bestFit="1" customWidth="1"/>
    <col min="20" max="20" width="11.28125" style="1" customWidth="1"/>
    <col min="21" max="21" width="9.421875" style="1" customWidth="1"/>
    <col min="22" max="23" width="11.57421875" style="1" bestFit="1" customWidth="1"/>
    <col min="24" max="24" width="10.00390625" style="1" customWidth="1"/>
    <col min="25" max="25" width="9.140625" style="1" customWidth="1"/>
    <col min="26" max="26" width="13.00390625" style="1" customWidth="1"/>
    <col min="27" max="27" width="10.57421875" style="1" customWidth="1"/>
    <col min="29" max="29" width="11.7109375" style="0" bestFit="1" customWidth="1"/>
    <col min="30" max="30" width="2.7109375" style="0" customWidth="1"/>
    <col min="31" max="31" width="9.57421875" style="0" customWidth="1"/>
    <col min="32" max="32" width="2.7109375" style="0" customWidth="1"/>
    <col min="33" max="33" width="13.00390625" style="0" customWidth="1"/>
    <col min="34" max="34" width="10.57421875" style="0" customWidth="1"/>
    <col min="35" max="35" width="2.7109375" style="0" customWidth="1"/>
    <col min="36" max="36" width="14.7109375" style="0" customWidth="1"/>
    <col min="37" max="37" width="10.00390625" style="0" customWidth="1"/>
    <col min="38" max="38" width="2.7109375" style="0" customWidth="1"/>
    <col min="39" max="39" width="16.8515625" style="0" customWidth="1"/>
    <col min="40" max="40" width="2.7109375" style="1" customWidth="1"/>
    <col min="42" max="42" width="11.7109375" style="0" bestFit="1" customWidth="1"/>
    <col min="43" max="43" width="2.7109375" style="0" customWidth="1"/>
    <col min="44" max="44" width="10.57421875" style="0" customWidth="1"/>
    <col min="45" max="45" width="3.8515625" style="0" customWidth="1"/>
    <col min="46" max="46" width="12.00390625" style="0" bestFit="1" customWidth="1"/>
    <col min="47" max="47" width="13.7109375" style="0" customWidth="1"/>
    <col min="48" max="48" width="14.140625" style="0" customWidth="1"/>
    <col min="49" max="49" width="6.28125" style="1" customWidth="1"/>
    <col min="50" max="50" width="12.140625" style="0" customWidth="1"/>
    <col min="51" max="51" width="11.28125" style="0" customWidth="1"/>
    <col min="52" max="52" width="14.140625" style="0" customWidth="1"/>
    <col min="53" max="54" width="8.8515625" style="0" customWidth="1"/>
    <col min="55" max="55" width="2.7109375" style="0" customWidth="1"/>
    <col min="56" max="56" width="11.8515625" style="0" customWidth="1"/>
    <col min="58" max="58" width="11.7109375" style="0" bestFit="1" customWidth="1"/>
    <col min="59" max="59" width="2.7109375" style="0" customWidth="1"/>
    <col min="60" max="60" width="5.8515625" style="0" customWidth="1"/>
    <col min="61" max="61" width="2.7109375" style="0" customWidth="1"/>
    <col min="62" max="62" width="12.00390625" style="0" bestFit="1" customWidth="1"/>
    <col min="63" max="63" width="4.7109375" style="0" customWidth="1"/>
    <col min="64" max="64" width="11.28125" style="0" customWidth="1"/>
    <col min="65" max="65" width="4.7109375" style="0" customWidth="1"/>
    <col min="66" max="66" width="14.140625" style="0" customWidth="1"/>
    <col min="67" max="67" width="4.140625" style="0" customWidth="1"/>
    <col min="68" max="68" width="14.140625" style="0" customWidth="1"/>
    <col min="69" max="69" width="11.7109375" style="0" customWidth="1"/>
    <col min="70" max="70" width="2.7109375" style="0" customWidth="1"/>
    <col min="71" max="71" width="11.28125" style="0" customWidth="1"/>
    <col min="72" max="72" width="2.7109375" style="0" customWidth="1"/>
    <col min="73" max="73" width="17.00390625" style="0" customWidth="1"/>
    <col min="74" max="74" width="13.7109375" style="0" customWidth="1"/>
  </cols>
  <sheetData>
    <row r="2" spans="2:65" ht="20.25">
      <c r="B2" s="2" t="s">
        <v>117</v>
      </c>
      <c r="AB2" s="2" t="s">
        <v>118</v>
      </c>
      <c r="AO2" s="2" t="s">
        <v>119</v>
      </c>
      <c r="BM2" s="74" t="s">
        <v>105</v>
      </c>
    </row>
    <row r="3" spans="46:72" ht="14.25">
      <c r="AT3" s="3" t="s">
        <v>0</v>
      </c>
      <c r="AU3" s="4">
        <v>0.003</v>
      </c>
      <c r="AV3" t="s">
        <v>1</v>
      </c>
      <c r="BH3" s="1"/>
      <c r="BI3" s="1"/>
      <c r="BJ3" s="1"/>
      <c r="BK3" s="1"/>
      <c r="BM3" s="81" t="s">
        <v>84</v>
      </c>
      <c r="BN3" s="81" t="s">
        <v>83</v>
      </c>
      <c r="BO3" s="5"/>
      <c r="BP3" s="5"/>
      <c r="BQ3" s="5"/>
      <c r="BR3" s="5"/>
      <c r="BS3" s="15"/>
      <c r="BT3" s="15"/>
    </row>
    <row r="4" spans="14:73" ht="14.25">
      <c r="N4" s="5" t="s">
        <v>2</v>
      </c>
      <c r="O4" s="6">
        <v>0.23</v>
      </c>
      <c r="P4" s="7" t="s">
        <v>3</v>
      </c>
      <c r="Q4" s="8"/>
      <c r="R4" s="8"/>
      <c r="T4" s="43"/>
      <c r="V4" s="5" t="s">
        <v>88</v>
      </c>
      <c r="W4" s="6">
        <v>0.23</v>
      </c>
      <c r="X4" s="7" t="s">
        <v>3</v>
      </c>
      <c r="Y4" s="8"/>
      <c r="AT4" s="3" t="s">
        <v>4</v>
      </c>
      <c r="AU4" s="9">
        <v>10</v>
      </c>
      <c r="AV4" t="s">
        <v>5</v>
      </c>
      <c r="AZ4" s="10" t="s">
        <v>66</v>
      </c>
      <c r="BA4" s="64">
        <v>0.99</v>
      </c>
      <c r="BB4" s="27" t="s">
        <v>36</v>
      </c>
      <c r="BH4" s="1"/>
      <c r="BI4" s="1"/>
      <c r="BJ4" s="1"/>
      <c r="BK4" s="1"/>
      <c r="BM4" s="79"/>
      <c r="BN4" s="81" t="s">
        <v>99</v>
      </c>
      <c r="BO4" s="15"/>
      <c r="BP4" s="15"/>
      <c r="BQ4" s="15"/>
      <c r="BR4" s="15"/>
      <c r="BS4" s="15"/>
      <c r="BT4" s="15"/>
      <c r="BU4" s="15"/>
    </row>
    <row r="5" spans="12:73" ht="14.25">
      <c r="L5" s="10"/>
      <c r="M5" s="45"/>
      <c r="N5" s="5" t="s">
        <v>89</v>
      </c>
      <c r="O5" s="6">
        <v>0.15</v>
      </c>
      <c r="P5" s="7" t="s">
        <v>3</v>
      </c>
      <c r="Q5" s="8"/>
      <c r="R5" s="8"/>
      <c r="S5" s="45"/>
      <c r="T5" s="43"/>
      <c r="U5" s="45"/>
      <c r="V5" s="5" t="s">
        <v>89</v>
      </c>
      <c r="W5" s="6">
        <v>0.15</v>
      </c>
      <c r="X5" s="7" t="s">
        <v>3</v>
      </c>
      <c r="Y5" s="8"/>
      <c r="Z5" s="45"/>
      <c r="AA5" s="45"/>
      <c r="AG5" s="10"/>
      <c r="AH5" s="10"/>
      <c r="AI5" s="10"/>
      <c r="AJ5" s="10"/>
      <c r="AK5" s="10"/>
      <c r="AL5" s="10"/>
      <c r="AM5" s="10"/>
      <c r="AN5" s="45"/>
      <c r="AT5" s="3" t="s">
        <v>7</v>
      </c>
      <c r="AU5" s="9">
        <v>5</v>
      </c>
      <c r="AV5" t="s">
        <v>5</v>
      </c>
      <c r="AX5" s="10"/>
      <c r="AY5" s="10"/>
      <c r="AZ5" s="10"/>
      <c r="BA5" s="10"/>
      <c r="BD5" s="11"/>
      <c r="BH5" s="1"/>
      <c r="BI5" s="1"/>
      <c r="BJ5" s="1"/>
      <c r="BK5" s="11"/>
      <c r="BL5" s="10"/>
      <c r="BM5" s="81" t="s">
        <v>85</v>
      </c>
      <c r="BN5" s="81" t="s">
        <v>86</v>
      </c>
      <c r="BO5" s="15"/>
      <c r="BP5" s="15"/>
      <c r="BQ5" s="15"/>
      <c r="BR5" s="15"/>
      <c r="BS5" s="15"/>
      <c r="BT5" s="15"/>
      <c r="BU5" s="15"/>
    </row>
    <row r="6" spans="14:73" ht="14.25">
      <c r="N6" s="5" t="s">
        <v>8</v>
      </c>
      <c r="O6" s="12">
        <v>0.8</v>
      </c>
      <c r="P6" s="7" t="s">
        <v>5</v>
      </c>
      <c r="Q6" s="8"/>
      <c r="R6" s="8"/>
      <c r="T6" s="43"/>
      <c r="V6" s="5" t="s">
        <v>8</v>
      </c>
      <c r="W6" s="12">
        <v>0.4</v>
      </c>
      <c r="X6" s="7" t="s">
        <v>5</v>
      </c>
      <c r="Y6" s="8"/>
      <c r="AT6" s="3" t="s">
        <v>9</v>
      </c>
      <c r="AU6" s="9">
        <v>1</v>
      </c>
      <c r="AV6" t="s">
        <v>5</v>
      </c>
      <c r="BD6" s="1"/>
      <c r="BH6" s="1"/>
      <c r="BI6" s="1"/>
      <c r="BJ6" s="1"/>
      <c r="BK6" s="1"/>
      <c r="BM6" s="80"/>
      <c r="BN6" s="81" t="s">
        <v>87</v>
      </c>
      <c r="BO6" s="15"/>
      <c r="BP6" s="15"/>
      <c r="BQ6" s="15"/>
      <c r="BR6" s="15"/>
      <c r="BS6" s="15"/>
      <c r="BT6" s="15"/>
      <c r="BU6" s="15"/>
    </row>
    <row r="7" spans="14:73" ht="14.25">
      <c r="N7" s="5" t="s">
        <v>10</v>
      </c>
      <c r="O7" s="13">
        <f>O6*(O4-O5)*2/3*1000</f>
        <v>42.66666666666668</v>
      </c>
      <c r="P7" s="7" t="s">
        <v>11</v>
      </c>
      <c r="T7" s="43"/>
      <c r="V7" s="5" t="s">
        <v>10</v>
      </c>
      <c r="W7" s="13">
        <f>W6*(W4-W5)*2/3*1000</f>
        <v>21.33333333333334</v>
      </c>
      <c r="X7" s="7" t="s">
        <v>11</v>
      </c>
      <c r="Z7" s="43"/>
      <c r="AA7" s="11"/>
      <c r="AG7" s="77" t="s">
        <v>12</v>
      </c>
      <c r="AH7" s="78">
        <v>25000</v>
      </c>
      <c r="AI7" s="66"/>
      <c r="AJ7" s="77"/>
      <c r="AK7" s="78">
        <v>50000</v>
      </c>
      <c r="AM7" s="10"/>
      <c r="AT7" s="3" t="s">
        <v>13</v>
      </c>
      <c r="AU7" s="9">
        <v>100</v>
      </c>
      <c r="AV7" t="s">
        <v>5</v>
      </c>
      <c r="AX7" s="10"/>
      <c r="AY7" s="10"/>
      <c r="AZ7" s="10"/>
      <c r="BA7" s="10"/>
      <c r="BH7" s="1"/>
      <c r="BI7" s="1"/>
      <c r="BJ7" s="1"/>
      <c r="BK7" s="1"/>
      <c r="BL7" s="10"/>
      <c r="BM7" s="81" t="s">
        <v>94</v>
      </c>
      <c r="BN7" s="81" t="s">
        <v>100</v>
      </c>
      <c r="BO7" s="15"/>
      <c r="BP7" s="15"/>
      <c r="BQ7" s="15"/>
      <c r="BR7" s="15"/>
      <c r="BS7" s="15"/>
      <c r="BT7" s="15"/>
      <c r="BU7" s="15"/>
    </row>
    <row r="8" spans="22:73" ht="14.25">
      <c r="V8"/>
      <c r="W8"/>
      <c r="X8"/>
      <c r="Z8" s="46"/>
      <c r="AG8" s="15"/>
      <c r="AJ8" s="15"/>
      <c r="BH8" s="1"/>
      <c r="BI8" s="1"/>
      <c r="BJ8" s="1"/>
      <c r="BK8" s="1"/>
      <c r="BM8" s="80"/>
      <c r="BN8" s="81" t="s">
        <v>87</v>
      </c>
      <c r="BO8" s="15"/>
      <c r="BP8" s="15"/>
      <c r="BQ8" s="15"/>
      <c r="BR8" s="15"/>
      <c r="BS8" s="15"/>
      <c r="BT8" s="15"/>
      <c r="BU8" s="15"/>
    </row>
    <row r="9" spans="6:73" ht="18">
      <c r="F9" s="3" t="s">
        <v>49</v>
      </c>
      <c r="G9" s="3"/>
      <c r="H9" s="16">
        <v>0.1</v>
      </c>
      <c r="I9" t="s">
        <v>3</v>
      </c>
      <c r="N9" s="3" t="s">
        <v>14</v>
      </c>
      <c r="O9" s="107">
        <v>800</v>
      </c>
      <c r="P9" t="s">
        <v>15</v>
      </c>
      <c r="R9"/>
      <c r="V9" s="3" t="s">
        <v>14</v>
      </c>
      <c r="W9" s="107">
        <v>400</v>
      </c>
      <c r="X9" t="s">
        <v>15</v>
      </c>
      <c r="Z9" s="43"/>
      <c r="AA9" s="33"/>
      <c r="AF9" s="3"/>
      <c r="AG9" s="5" t="s">
        <v>16</v>
      </c>
      <c r="AH9" s="17">
        <v>300</v>
      </c>
      <c r="AJ9" s="5"/>
      <c r="AK9" s="18">
        <f>AH9</f>
        <v>300</v>
      </c>
      <c r="AL9" t="s">
        <v>17</v>
      </c>
      <c r="AS9" s="3"/>
      <c r="AT9" s="76" t="s">
        <v>18</v>
      </c>
      <c r="AU9" s="75">
        <v>3</v>
      </c>
      <c r="AV9" t="s">
        <v>3</v>
      </c>
      <c r="BA9" s="68" t="s">
        <v>69</v>
      </c>
      <c r="BB9" s="68"/>
      <c r="BH9" s="1"/>
      <c r="BI9" s="41"/>
      <c r="BJ9" s="1"/>
      <c r="BK9" s="1"/>
      <c r="BM9" s="81" t="s">
        <v>95</v>
      </c>
      <c r="BN9" s="81" t="s">
        <v>96</v>
      </c>
      <c r="BO9" s="15"/>
      <c r="BP9" s="15"/>
      <c r="BQ9" s="15"/>
      <c r="BR9" s="15"/>
      <c r="BS9" s="15"/>
      <c r="BT9" s="15"/>
      <c r="BU9" s="15"/>
    </row>
    <row r="10" spans="16:73" ht="14.25">
      <c r="P10" s="1"/>
      <c r="V10"/>
      <c r="W10"/>
      <c r="BA10" s="27" t="s">
        <v>78</v>
      </c>
      <c r="BB10" s="27" t="s">
        <v>79</v>
      </c>
      <c r="BH10" s="1"/>
      <c r="BI10" s="1"/>
      <c r="BJ10" s="1"/>
      <c r="BK10" s="1"/>
      <c r="BM10" s="80"/>
      <c r="BN10" s="81" t="s">
        <v>87</v>
      </c>
      <c r="BO10" s="15"/>
      <c r="BP10" s="15"/>
      <c r="BQ10" s="15"/>
      <c r="BR10" s="15"/>
      <c r="BS10" s="15"/>
      <c r="BT10" s="15"/>
      <c r="BU10" s="15"/>
    </row>
    <row r="11" spans="22:73" ht="14.25">
      <c r="V11"/>
      <c r="W11" s="3"/>
      <c r="X11"/>
      <c r="Y11" s="3" t="s">
        <v>19</v>
      </c>
      <c r="Z11" s="16">
        <v>0.8</v>
      </c>
      <c r="AA11" s="1" t="s">
        <v>3</v>
      </c>
      <c r="AZ11" t="s">
        <v>80</v>
      </c>
      <c r="BA11" s="70">
        <v>0.4411764705882354</v>
      </c>
      <c r="BB11" s="70">
        <v>0.05941176470588233</v>
      </c>
      <c r="BH11" s="1"/>
      <c r="BI11" s="1"/>
      <c r="BJ11" s="1"/>
      <c r="BK11" s="1"/>
      <c r="BM11" s="81" t="s">
        <v>97</v>
      </c>
      <c r="BN11" s="81" t="s">
        <v>101</v>
      </c>
      <c r="BO11" s="15"/>
      <c r="BP11" s="15"/>
      <c r="BQ11" s="15"/>
      <c r="BR11" s="15"/>
      <c r="BS11" s="15"/>
      <c r="BT11" s="15"/>
      <c r="BU11" s="15"/>
    </row>
    <row r="12" spans="16:73" ht="14.25">
      <c r="P12" s="1"/>
      <c r="V12" s="11"/>
      <c r="BH12" s="1"/>
      <c r="BI12" s="1"/>
      <c r="BJ12" s="1"/>
      <c r="BK12" s="1"/>
      <c r="BM12" s="80"/>
      <c r="BN12" s="81" t="s">
        <v>98</v>
      </c>
      <c r="BO12" s="15"/>
      <c r="BP12" s="15"/>
      <c r="BQ12" s="15"/>
      <c r="BR12" s="15"/>
      <c r="BS12" s="15"/>
      <c r="BT12" s="15"/>
      <c r="BU12" s="15"/>
    </row>
    <row r="13" spans="50:73" ht="12.75">
      <c r="AX13" s="1"/>
      <c r="AY13" s="1"/>
      <c r="AZ13" s="1"/>
      <c r="BA13" s="109" t="s">
        <v>123</v>
      </c>
      <c r="BB13" s="1"/>
      <c r="BC13" s="1"/>
      <c r="BD13" s="1"/>
      <c r="BU13" s="15"/>
    </row>
    <row r="14" spans="3:74" s="110" customFormat="1" ht="51">
      <c r="C14" s="111" t="s">
        <v>20</v>
      </c>
      <c r="D14" s="111"/>
      <c r="E14" s="111" t="s">
        <v>21</v>
      </c>
      <c r="F14" s="111"/>
      <c r="G14" s="112" t="s">
        <v>51</v>
      </c>
      <c r="H14" s="112" t="s">
        <v>22</v>
      </c>
      <c r="I14" s="113"/>
      <c r="J14" s="113" t="s">
        <v>52</v>
      </c>
      <c r="K14" s="113" t="s">
        <v>53</v>
      </c>
      <c r="L14" s="112" t="s">
        <v>23</v>
      </c>
      <c r="M14" s="114"/>
      <c r="N14" s="112" t="s">
        <v>24</v>
      </c>
      <c r="O14" s="112" t="s">
        <v>25</v>
      </c>
      <c r="P14" s="112" t="s">
        <v>26</v>
      </c>
      <c r="Q14" s="115"/>
      <c r="R14" s="113" t="s">
        <v>52</v>
      </c>
      <c r="S14" s="113" t="s">
        <v>54</v>
      </c>
      <c r="T14" s="112" t="s">
        <v>55</v>
      </c>
      <c r="U14" s="114"/>
      <c r="V14" s="112" t="s">
        <v>56</v>
      </c>
      <c r="W14" s="112" t="s">
        <v>25</v>
      </c>
      <c r="X14" s="112" t="s">
        <v>26</v>
      </c>
      <c r="Y14" s="114"/>
      <c r="Z14" s="116" t="s">
        <v>57</v>
      </c>
      <c r="AA14" s="117"/>
      <c r="AC14" s="111" t="s">
        <v>20</v>
      </c>
      <c r="AD14" s="111"/>
      <c r="AE14" s="111" t="s">
        <v>21</v>
      </c>
      <c r="AF14" s="111"/>
      <c r="AG14" s="112" t="s">
        <v>27</v>
      </c>
      <c r="AH14" s="113" t="s">
        <v>28</v>
      </c>
      <c r="AI14" s="113"/>
      <c r="AJ14" s="112" t="s">
        <v>27</v>
      </c>
      <c r="AK14" s="113" t="s">
        <v>29</v>
      </c>
      <c r="AL14" s="113"/>
      <c r="AM14" s="118" t="s">
        <v>30</v>
      </c>
      <c r="AN14" s="117"/>
      <c r="AP14" s="111" t="s">
        <v>20</v>
      </c>
      <c r="AQ14" s="111"/>
      <c r="AR14" s="111" t="s">
        <v>21</v>
      </c>
      <c r="AS14" s="113"/>
      <c r="AT14" s="112" t="s">
        <v>124</v>
      </c>
      <c r="AU14" s="118" t="s">
        <v>102</v>
      </c>
      <c r="AV14" s="118" t="s">
        <v>111</v>
      </c>
      <c r="AW14" s="115"/>
      <c r="AX14" s="112" t="s">
        <v>60</v>
      </c>
      <c r="AY14" s="112" t="s">
        <v>61</v>
      </c>
      <c r="AZ14" s="112" t="s">
        <v>62</v>
      </c>
      <c r="BA14" s="112" t="s">
        <v>63</v>
      </c>
      <c r="BB14" s="112" t="s">
        <v>64</v>
      </c>
      <c r="BC14" s="119"/>
      <c r="BD14" s="118" t="s">
        <v>103</v>
      </c>
      <c r="BF14" s="111" t="s">
        <v>20</v>
      </c>
      <c r="BG14" s="111"/>
      <c r="BH14" s="112" t="s">
        <v>21</v>
      </c>
      <c r="BI14" s="111"/>
      <c r="BJ14" s="112" t="s">
        <v>102</v>
      </c>
      <c r="BK14" s="120"/>
      <c r="BL14" s="112" t="s">
        <v>31</v>
      </c>
      <c r="BM14" s="120"/>
      <c r="BN14" s="112" t="s">
        <v>82</v>
      </c>
      <c r="BO14" s="113"/>
      <c r="BP14" s="116" t="s">
        <v>32</v>
      </c>
      <c r="BQ14" s="118" t="s">
        <v>33</v>
      </c>
      <c r="BR14" s="113"/>
      <c r="BS14" s="118" t="s">
        <v>103</v>
      </c>
      <c r="BU14" s="121" t="s">
        <v>104</v>
      </c>
      <c r="BV14" s="121" t="s">
        <v>120</v>
      </c>
    </row>
    <row r="15" spans="3:71" ht="12.75">
      <c r="C15" s="26"/>
      <c r="D15" s="26"/>
      <c r="E15" s="26"/>
      <c r="F15" s="26"/>
      <c r="G15" s="27" t="s">
        <v>50</v>
      </c>
      <c r="H15" s="27" t="s">
        <v>11</v>
      </c>
      <c r="I15" s="27"/>
      <c r="J15" s="27" t="s">
        <v>50</v>
      </c>
      <c r="K15" s="27" t="s">
        <v>3</v>
      </c>
      <c r="L15" s="27" t="s">
        <v>11</v>
      </c>
      <c r="M15" s="30"/>
      <c r="N15" s="27" t="s">
        <v>11</v>
      </c>
      <c r="O15" s="27" t="s">
        <v>11</v>
      </c>
      <c r="P15" s="28" t="s">
        <v>35</v>
      </c>
      <c r="Q15" s="50"/>
      <c r="R15" s="27" t="s">
        <v>50</v>
      </c>
      <c r="S15" s="27" t="s">
        <v>3</v>
      </c>
      <c r="T15" s="27" t="s">
        <v>11</v>
      </c>
      <c r="U15" s="30"/>
      <c r="V15" s="27" t="s">
        <v>11</v>
      </c>
      <c r="W15" s="27" t="s">
        <v>11</v>
      </c>
      <c r="X15" s="28" t="s">
        <v>35</v>
      </c>
      <c r="Y15" s="30"/>
      <c r="Z15" s="62" t="s">
        <v>35</v>
      </c>
      <c r="AA15" s="30"/>
      <c r="AC15" s="26"/>
      <c r="AD15" s="26"/>
      <c r="AE15" s="26"/>
      <c r="AF15" s="26"/>
      <c r="AG15" s="27" t="s">
        <v>3</v>
      </c>
      <c r="AH15" s="27" t="s">
        <v>35</v>
      </c>
      <c r="AJ15" s="27" t="s">
        <v>3</v>
      </c>
      <c r="AK15" s="27" t="s">
        <v>35</v>
      </c>
      <c r="AL15" s="27"/>
      <c r="AM15" s="29" t="s">
        <v>35</v>
      </c>
      <c r="AP15" s="26"/>
      <c r="AQ15" s="26"/>
      <c r="AR15" s="26"/>
      <c r="AT15" s="27" t="s">
        <v>36</v>
      </c>
      <c r="AU15" s="29" t="s">
        <v>35</v>
      </c>
      <c r="AV15" s="29"/>
      <c r="AW15" s="50"/>
      <c r="AX15" s="27" t="s">
        <v>3</v>
      </c>
      <c r="AY15" s="27" t="s">
        <v>36</v>
      </c>
      <c r="AZ15" s="27" t="s">
        <v>36</v>
      </c>
      <c r="BA15" s="27" t="s">
        <v>65</v>
      </c>
      <c r="BB15" s="27" t="s">
        <v>36</v>
      </c>
      <c r="BC15" s="1"/>
      <c r="BD15" s="29" t="s">
        <v>35</v>
      </c>
      <c r="BF15" s="26"/>
      <c r="BG15" s="26"/>
      <c r="BH15" s="26"/>
      <c r="BI15" s="26"/>
      <c r="BJ15" s="27" t="s">
        <v>35</v>
      </c>
      <c r="BL15" s="28" t="s">
        <v>35</v>
      </c>
      <c r="BN15" s="28" t="s">
        <v>35</v>
      </c>
      <c r="BP15" s="28" t="s">
        <v>35</v>
      </c>
      <c r="BQ15" s="29" t="s">
        <v>35</v>
      </c>
      <c r="BS15" s="29" t="s">
        <v>35</v>
      </c>
    </row>
    <row r="16" spans="3:61" ht="12.75">
      <c r="C16" s="20"/>
      <c r="D16" s="20"/>
      <c r="E16" s="20"/>
      <c r="F16" s="20"/>
      <c r="G16" s="27"/>
      <c r="J16" s="27"/>
      <c r="K16" s="27"/>
      <c r="R16" s="27"/>
      <c r="S16" s="27"/>
      <c r="T16"/>
      <c r="V16"/>
      <c r="W16"/>
      <c r="X16"/>
      <c r="Z16"/>
      <c r="AC16" s="20"/>
      <c r="AD16" s="20"/>
      <c r="AE16" s="20"/>
      <c r="AF16" s="20"/>
      <c r="AP16" s="20"/>
      <c r="AQ16" s="20"/>
      <c r="AR16" s="20"/>
      <c r="AX16" s="27"/>
      <c r="BC16" s="1"/>
      <c r="BF16" s="20"/>
      <c r="BG16" s="20"/>
      <c r="BH16" s="20"/>
      <c r="BI16" s="20"/>
    </row>
    <row r="17" spans="1:74" ht="12.75">
      <c r="A17" s="55"/>
      <c r="B17" s="55"/>
      <c r="C17" s="20" t="s">
        <v>37</v>
      </c>
      <c r="D17" s="20"/>
      <c r="E17" s="26">
        <v>31</v>
      </c>
      <c r="F17" s="20"/>
      <c r="G17" s="56">
        <v>58.5909090909091</v>
      </c>
      <c r="H17" s="57">
        <f aca="true" t="shared" si="0" ref="H17:H28">G17*(1-$H$9)</f>
        <v>52.73181818181819</v>
      </c>
      <c r="I17" s="58"/>
      <c r="J17" s="56">
        <v>19.230287529841807</v>
      </c>
      <c r="K17" s="59">
        <v>0.1</v>
      </c>
      <c r="L17" s="54">
        <f aca="true" t="shared" si="1" ref="L17:L28">J17*K17</f>
        <v>1.9230287529841807</v>
      </c>
      <c r="M17" s="58"/>
      <c r="N17" s="54">
        <f aca="true" t="shared" si="2" ref="N17:N28">H17-L17</f>
        <v>50.80878942883401</v>
      </c>
      <c r="O17" s="54">
        <f aca="true" t="shared" si="3" ref="O17:O28">IF(OR(OR(AND(N17&gt;=0,O16&gt;0),O16=""),N17&gt;$O$7),$O$7,IF(N17+O16&gt;=0,N17+O16,0))</f>
        <v>42.66666666666668</v>
      </c>
      <c r="P17" s="13">
        <f aca="true" t="shared" si="4" ref="P17:P28">IF(O17&gt;0,0,ABS(N17+O16)/1000*$O$9*10000)</f>
        <v>0</v>
      </c>
      <c r="Q17" s="58"/>
      <c r="R17" s="56">
        <v>19.230287529841807</v>
      </c>
      <c r="S17" s="59">
        <v>0.1</v>
      </c>
      <c r="T17" s="54">
        <f aca="true" t="shared" si="5" ref="T17:T28">R17*S17</f>
        <v>1.9230287529841807</v>
      </c>
      <c r="U17" s="58"/>
      <c r="V17" s="54">
        <f aca="true" t="shared" si="6" ref="V17:V28">H17-T17</f>
        <v>50.80878942883401</v>
      </c>
      <c r="W17" s="54">
        <f aca="true" t="shared" si="7" ref="W17:W28">IF(OR(OR(AND(V17&gt;=0,W16&gt;0),W16=""),V17&gt;$W$7),$W$7,IF(V17+W16&gt;=0,V17+W16,0))</f>
        <v>21.33333333333334</v>
      </c>
      <c r="X17" s="13">
        <f aca="true" t="shared" si="8" ref="X17:X28">IF(W17&gt;0,0,ABS(V17+W16)/1000*$W$9*10000)</f>
        <v>0</v>
      </c>
      <c r="Y17" s="60"/>
      <c r="Z17" s="71">
        <f aca="true" t="shared" si="9" ref="Z17:Z28">(X17+P17)/$Z$11</f>
        <v>0</v>
      </c>
      <c r="AA17" s="11"/>
      <c r="AC17" s="31" t="s">
        <v>37</v>
      </c>
      <c r="AD17" s="31"/>
      <c r="AE17" s="32">
        <v>31</v>
      </c>
      <c r="AF17" s="31"/>
      <c r="AG17" s="9">
        <v>1</v>
      </c>
      <c r="AH17" s="13">
        <f>AH$7*AH$9*AG17*AE17/1000</f>
        <v>232500</v>
      </c>
      <c r="AJ17" s="9">
        <v>1</v>
      </c>
      <c r="AK17" s="13">
        <f>AK$7*AK$9*AJ17*AE17/1000</f>
        <v>465000</v>
      </c>
      <c r="AM17" s="72">
        <f>AH17+AK17</f>
        <v>697500</v>
      </c>
      <c r="AP17" s="31" t="s">
        <v>37</v>
      </c>
      <c r="AQ17" s="31"/>
      <c r="AR17" s="32">
        <v>31</v>
      </c>
      <c r="AS17" s="33"/>
      <c r="AT17" s="34">
        <f>$AU$9*PI()*$AU$3*($AU$4*$AU$5)/(LN($AU$7/$AU$6))</f>
        <v>0.3069846796144143</v>
      </c>
      <c r="AU17" s="13">
        <f>AT17*60*60*24*AR17</f>
        <v>822227.7658792472</v>
      </c>
      <c r="AV17" s="87" t="str">
        <f>IF(AU17&lt;AM17,"NON","respectée")</f>
        <v>respectée</v>
      </c>
      <c r="AW17" s="106"/>
      <c r="AX17" s="16">
        <v>1.3</v>
      </c>
      <c r="AY17" s="16">
        <f>$BA$4</f>
        <v>0.99</v>
      </c>
      <c r="AZ17" s="19">
        <f>AY17*AX17</f>
        <v>1.287</v>
      </c>
      <c r="BA17" s="19">
        <v>0.26</v>
      </c>
      <c r="BB17" s="19">
        <f>BA17*$BA$11+$BB$11</f>
        <v>0.17411764705882354</v>
      </c>
      <c r="BC17" s="1"/>
      <c r="BD17" s="13">
        <f>(AZ17-BB17)*60*60*24*E17</f>
        <v>2980744.094117647</v>
      </c>
      <c r="BF17" s="31" t="s">
        <v>37</v>
      </c>
      <c r="BG17" s="31"/>
      <c r="BH17" s="32">
        <v>31</v>
      </c>
      <c r="BI17" s="31"/>
      <c r="BJ17" s="13">
        <f>AU17</f>
        <v>822227.7658792472</v>
      </c>
      <c r="BL17" s="13">
        <f>Z17</f>
        <v>0</v>
      </c>
      <c r="BN17" s="13">
        <f>AM17</f>
        <v>697500</v>
      </c>
      <c r="BO17" s="33"/>
      <c r="BP17" s="13">
        <f>BJ17-BN17</f>
        <v>124727.76587924722</v>
      </c>
      <c r="BQ17" s="13">
        <f>IF(AND(BL17&gt;0,BL17-BP17&gt;=0),BL17-BP17,0)</f>
        <v>0</v>
      </c>
      <c r="BR17" s="33"/>
      <c r="BS17" s="13">
        <f>BD17</f>
        <v>2980744.094117647</v>
      </c>
      <c r="BU17" s="35" t="str">
        <f>IF(BQ17-BS17&gt;0,"IMPOSSIBLE","POSSIBLE")</f>
        <v>POSSIBLE</v>
      </c>
      <c r="BV17" s="108" t="str">
        <f>IF(AT17&gt;0.4,"NON","OUI")</f>
        <v>OUI</v>
      </c>
    </row>
    <row r="18" spans="1:73" ht="12.75">
      <c r="A18" s="55"/>
      <c r="B18" s="55"/>
      <c r="C18" s="20" t="s">
        <v>38</v>
      </c>
      <c r="D18" s="20"/>
      <c r="E18" s="26">
        <v>28</v>
      </c>
      <c r="F18" s="20"/>
      <c r="G18" s="56">
        <v>52.286363636363625</v>
      </c>
      <c r="H18" s="57">
        <f t="shared" si="0"/>
        <v>47.05772727272726</v>
      </c>
      <c r="I18" s="58"/>
      <c r="J18" s="56">
        <v>26.316664007097767</v>
      </c>
      <c r="K18" s="59">
        <v>0.1</v>
      </c>
      <c r="L18" s="54">
        <f t="shared" si="1"/>
        <v>2.631666400709777</v>
      </c>
      <c r="M18" s="58"/>
      <c r="N18" s="54">
        <f t="shared" si="2"/>
        <v>44.42606087201749</v>
      </c>
      <c r="O18" s="54">
        <f t="shared" si="3"/>
        <v>42.66666666666668</v>
      </c>
      <c r="P18" s="13">
        <f t="shared" si="4"/>
        <v>0</v>
      </c>
      <c r="Q18" s="58"/>
      <c r="R18" s="56">
        <v>26.316664007097767</v>
      </c>
      <c r="S18" s="59">
        <v>0.1</v>
      </c>
      <c r="T18" s="54">
        <f t="shared" si="5"/>
        <v>2.631666400709777</v>
      </c>
      <c r="U18" s="58"/>
      <c r="V18" s="54">
        <f t="shared" si="6"/>
        <v>44.42606087201749</v>
      </c>
      <c r="W18" s="54">
        <f t="shared" si="7"/>
        <v>21.33333333333334</v>
      </c>
      <c r="X18" s="13">
        <f t="shared" si="8"/>
        <v>0</v>
      </c>
      <c r="Y18" s="60"/>
      <c r="Z18" s="71">
        <f t="shared" si="9"/>
        <v>0</v>
      </c>
      <c r="AA18" s="11"/>
      <c r="AC18" s="31" t="s">
        <v>38</v>
      </c>
      <c r="AD18" s="31"/>
      <c r="AE18" s="32">
        <v>28</v>
      </c>
      <c r="AF18" s="31"/>
      <c r="AG18" s="9">
        <v>1</v>
      </c>
      <c r="AH18" s="13">
        <f aca="true" t="shared" si="10" ref="AH18:AH28">AH$7*AH$9*AG18*AE18/1000</f>
        <v>210000</v>
      </c>
      <c r="AJ18" s="9">
        <v>1</v>
      </c>
      <c r="AK18" s="13">
        <f aca="true" t="shared" si="11" ref="AK18:AK28">AK$7*AK$9*AJ18*AE18/1000</f>
        <v>420000</v>
      </c>
      <c r="AM18" s="72">
        <f aca="true" t="shared" si="12" ref="AM18:AM28">AH18+AK18</f>
        <v>630000</v>
      </c>
      <c r="AP18" s="31" t="s">
        <v>38</v>
      </c>
      <c r="AQ18" s="31"/>
      <c r="AR18" s="32">
        <v>28</v>
      </c>
      <c r="AS18" s="33"/>
      <c r="AT18" s="34">
        <f aca="true" t="shared" si="13" ref="AT18:AT28">$AU$9*PI()*$AU$3*($AU$4*$AU$5)/(LN($AU$7/$AU$6))</f>
        <v>0.3069846796144143</v>
      </c>
      <c r="AU18" s="13">
        <f aca="true" t="shared" si="14" ref="AU18:AU28">AT18*60*60*24*AR18</f>
        <v>742657.336923191</v>
      </c>
      <c r="AV18" s="87" t="str">
        <f aca="true" t="shared" si="15" ref="AV18:AV28">IF(AU18&lt;AM18,"NON","respectée")</f>
        <v>respectée</v>
      </c>
      <c r="AW18" s="106"/>
      <c r="AX18" s="16">
        <v>1.69</v>
      </c>
      <c r="AY18" s="16">
        <f aca="true" t="shared" si="16" ref="AY18:AY28">$BA$4</f>
        <v>0.99</v>
      </c>
      <c r="AZ18" s="19">
        <f aca="true" t="shared" si="17" ref="AZ18:AZ28">AY18*AX18</f>
        <v>1.6731</v>
      </c>
      <c r="BA18" s="19">
        <v>0.26</v>
      </c>
      <c r="BB18" s="19">
        <f aca="true" t="shared" si="18" ref="BB18:BB28">BA18*$BA$11+$BB$11</f>
        <v>0.17411764705882354</v>
      </c>
      <c r="BC18" s="1"/>
      <c r="BD18" s="13">
        <f aca="true" t="shared" si="19" ref="BD18:BD28">(AZ18-BB18)*60*60*24*E18</f>
        <v>3626338.1082352945</v>
      </c>
      <c r="BF18" s="31" t="s">
        <v>38</v>
      </c>
      <c r="BG18" s="31"/>
      <c r="BH18" s="32">
        <v>28</v>
      </c>
      <c r="BI18" s="31"/>
      <c r="BJ18" s="13">
        <f aca="true" t="shared" si="20" ref="BJ18:BJ28">AU18</f>
        <v>742657.336923191</v>
      </c>
      <c r="BL18" s="13">
        <f aca="true" t="shared" si="21" ref="BL18:BL28">Z18</f>
        <v>0</v>
      </c>
      <c r="BN18" s="13">
        <f aca="true" t="shared" si="22" ref="BN18:BN28">AM18</f>
        <v>630000</v>
      </c>
      <c r="BO18" s="33"/>
      <c r="BP18" s="13">
        <f aca="true" t="shared" si="23" ref="BP18:BP28">BJ18-BN18</f>
        <v>112657.33692319097</v>
      </c>
      <c r="BQ18" s="13">
        <f aca="true" t="shared" si="24" ref="BQ18:BQ28">IF(AND(BL18&gt;0,BL18-BP18&gt;=0),BL18-BP18,0)</f>
        <v>0</v>
      </c>
      <c r="BR18" s="33"/>
      <c r="BS18" s="13">
        <f aca="true" t="shared" si="25" ref="BS18:BS28">BD18</f>
        <v>3626338.1082352945</v>
      </c>
      <c r="BU18" s="35" t="str">
        <f aca="true" t="shared" si="26" ref="BU18:BU28">IF(BQ18-BS18&gt;0,"IMPOSSIBLE","POSSIBLE")</f>
        <v>POSSIBLE</v>
      </c>
    </row>
    <row r="19" spans="1:73" ht="12.75">
      <c r="A19" s="55"/>
      <c r="B19" s="55"/>
      <c r="C19" s="20" t="s">
        <v>39</v>
      </c>
      <c r="D19" s="20"/>
      <c r="E19" s="26">
        <v>31</v>
      </c>
      <c r="F19" s="20"/>
      <c r="G19" s="56">
        <v>56.55</v>
      </c>
      <c r="H19" s="57">
        <f t="shared" si="0"/>
        <v>50.894999999999996</v>
      </c>
      <c r="I19" s="58"/>
      <c r="J19" s="56">
        <v>55.22784120902465</v>
      </c>
      <c r="K19" s="59">
        <v>0.1</v>
      </c>
      <c r="L19" s="54">
        <f t="shared" si="1"/>
        <v>5.5227841209024655</v>
      </c>
      <c r="M19" s="58"/>
      <c r="N19" s="54">
        <f t="shared" si="2"/>
        <v>45.37221587909753</v>
      </c>
      <c r="O19" s="54">
        <f t="shared" si="3"/>
        <v>42.66666666666668</v>
      </c>
      <c r="P19" s="13">
        <f t="shared" si="4"/>
        <v>0</v>
      </c>
      <c r="Q19" s="58"/>
      <c r="R19" s="56">
        <v>55.22784120902465</v>
      </c>
      <c r="S19" s="59">
        <v>0.1</v>
      </c>
      <c r="T19" s="54">
        <f t="shared" si="5"/>
        <v>5.5227841209024655</v>
      </c>
      <c r="U19" s="58"/>
      <c r="V19" s="54">
        <f t="shared" si="6"/>
        <v>45.37221587909753</v>
      </c>
      <c r="W19" s="54">
        <f t="shared" si="7"/>
        <v>21.33333333333334</v>
      </c>
      <c r="X19" s="13">
        <f t="shared" si="8"/>
        <v>0</v>
      </c>
      <c r="Y19" s="60"/>
      <c r="Z19" s="71">
        <f t="shared" si="9"/>
        <v>0</v>
      </c>
      <c r="AA19" s="11"/>
      <c r="AC19" s="31" t="s">
        <v>39</v>
      </c>
      <c r="AD19" s="31"/>
      <c r="AE19" s="32">
        <v>31</v>
      </c>
      <c r="AF19" s="31"/>
      <c r="AG19" s="9">
        <v>1</v>
      </c>
      <c r="AH19" s="13">
        <f t="shared" si="10"/>
        <v>232500</v>
      </c>
      <c r="AJ19" s="9">
        <v>1</v>
      </c>
      <c r="AK19" s="13">
        <f t="shared" si="11"/>
        <v>465000</v>
      </c>
      <c r="AM19" s="72">
        <f t="shared" si="12"/>
        <v>697500</v>
      </c>
      <c r="AP19" s="31" t="s">
        <v>39</v>
      </c>
      <c r="AQ19" s="31"/>
      <c r="AR19" s="32">
        <v>31</v>
      </c>
      <c r="AS19" s="33"/>
      <c r="AT19" s="34">
        <f t="shared" si="13"/>
        <v>0.3069846796144143</v>
      </c>
      <c r="AU19" s="13">
        <f t="shared" si="14"/>
        <v>822227.7658792472</v>
      </c>
      <c r="AV19" s="87" t="str">
        <f t="shared" si="15"/>
        <v>respectée</v>
      </c>
      <c r="AW19" s="106"/>
      <c r="AX19" s="16">
        <v>1.46</v>
      </c>
      <c r="AY19" s="16">
        <f t="shared" si="16"/>
        <v>0.99</v>
      </c>
      <c r="AZ19" s="19">
        <f t="shared" si="17"/>
        <v>1.4454</v>
      </c>
      <c r="BA19" s="19">
        <v>0.26</v>
      </c>
      <c r="BB19" s="19">
        <f t="shared" si="18"/>
        <v>0.17411764705882354</v>
      </c>
      <c r="BC19" s="1"/>
      <c r="BD19" s="13">
        <f t="shared" si="19"/>
        <v>3405002.6541176466</v>
      </c>
      <c r="BF19" s="31" t="s">
        <v>39</v>
      </c>
      <c r="BG19" s="31"/>
      <c r="BH19" s="32">
        <v>31</v>
      </c>
      <c r="BI19" s="31"/>
      <c r="BJ19" s="13">
        <f t="shared" si="20"/>
        <v>822227.7658792472</v>
      </c>
      <c r="BL19" s="13">
        <f t="shared" si="21"/>
        <v>0</v>
      </c>
      <c r="BN19" s="13">
        <f t="shared" si="22"/>
        <v>697500</v>
      </c>
      <c r="BO19" s="33"/>
      <c r="BP19" s="13">
        <f t="shared" si="23"/>
        <v>124727.76587924722</v>
      </c>
      <c r="BQ19" s="13">
        <f t="shared" si="24"/>
        <v>0</v>
      </c>
      <c r="BR19" s="33"/>
      <c r="BS19" s="13">
        <f t="shared" si="25"/>
        <v>3405002.6541176466</v>
      </c>
      <c r="BU19" s="35" t="str">
        <f t="shared" si="26"/>
        <v>POSSIBLE</v>
      </c>
    </row>
    <row r="20" spans="1:73" ht="12.75">
      <c r="A20" s="55"/>
      <c r="B20" s="55"/>
      <c r="C20" s="20" t="s">
        <v>40</v>
      </c>
      <c r="D20" s="20"/>
      <c r="E20" s="26">
        <v>30</v>
      </c>
      <c r="F20" s="20"/>
      <c r="G20" s="56">
        <v>63.2090909090909</v>
      </c>
      <c r="H20" s="57">
        <f t="shared" si="0"/>
        <v>56.888181818181806</v>
      </c>
      <c r="I20" s="58"/>
      <c r="J20" s="56">
        <v>76.60300179278678</v>
      </c>
      <c r="K20" s="59">
        <v>0.3</v>
      </c>
      <c r="L20" s="54">
        <f t="shared" si="1"/>
        <v>22.980900537836035</v>
      </c>
      <c r="M20" s="58"/>
      <c r="N20" s="54">
        <f t="shared" si="2"/>
        <v>33.90728128034577</v>
      </c>
      <c r="O20" s="54">
        <f t="shared" si="3"/>
        <v>42.66666666666668</v>
      </c>
      <c r="P20" s="13">
        <f t="shared" si="4"/>
        <v>0</v>
      </c>
      <c r="Q20" s="58"/>
      <c r="R20" s="56">
        <v>76.60300179278678</v>
      </c>
      <c r="S20" s="59">
        <v>0.5</v>
      </c>
      <c r="T20" s="54">
        <f t="shared" si="5"/>
        <v>38.30150089639339</v>
      </c>
      <c r="U20" s="58"/>
      <c r="V20" s="54">
        <f t="shared" si="6"/>
        <v>18.586680921788414</v>
      </c>
      <c r="W20" s="54">
        <f t="shared" si="7"/>
        <v>21.33333333333334</v>
      </c>
      <c r="X20" s="13">
        <f t="shared" si="8"/>
        <v>0</v>
      </c>
      <c r="Y20" s="60"/>
      <c r="Z20" s="71">
        <f t="shared" si="9"/>
        <v>0</v>
      </c>
      <c r="AA20" s="11"/>
      <c r="AC20" s="31" t="s">
        <v>40</v>
      </c>
      <c r="AD20" s="31"/>
      <c r="AE20" s="32">
        <v>30</v>
      </c>
      <c r="AF20" s="31"/>
      <c r="AG20" s="9">
        <v>1</v>
      </c>
      <c r="AH20" s="13">
        <f t="shared" si="10"/>
        <v>225000</v>
      </c>
      <c r="AJ20" s="9">
        <v>1</v>
      </c>
      <c r="AK20" s="13">
        <f t="shared" si="11"/>
        <v>450000</v>
      </c>
      <c r="AM20" s="72">
        <f t="shared" si="12"/>
        <v>675000</v>
      </c>
      <c r="AP20" s="31" t="s">
        <v>40</v>
      </c>
      <c r="AQ20" s="31"/>
      <c r="AR20" s="32">
        <v>30</v>
      </c>
      <c r="AS20" s="33"/>
      <c r="AT20" s="34">
        <f t="shared" si="13"/>
        <v>0.3069846796144143</v>
      </c>
      <c r="AU20" s="13">
        <f t="shared" si="14"/>
        <v>795704.2895605618</v>
      </c>
      <c r="AV20" s="87" t="str">
        <f t="shared" si="15"/>
        <v>respectée</v>
      </c>
      <c r="AW20" s="106"/>
      <c r="AX20" s="16">
        <v>1.11</v>
      </c>
      <c r="AY20" s="16">
        <f t="shared" si="16"/>
        <v>0.99</v>
      </c>
      <c r="AZ20" s="19">
        <f t="shared" si="17"/>
        <v>1.0989</v>
      </c>
      <c r="BA20" s="19">
        <v>0.26</v>
      </c>
      <c r="BB20" s="19">
        <f t="shared" si="18"/>
        <v>0.17411764705882354</v>
      </c>
      <c r="BC20" s="1"/>
      <c r="BD20" s="13">
        <f t="shared" si="19"/>
        <v>2397035.8588235294</v>
      </c>
      <c r="BF20" s="31" t="s">
        <v>40</v>
      </c>
      <c r="BG20" s="31"/>
      <c r="BH20" s="32">
        <v>30</v>
      </c>
      <c r="BI20" s="31"/>
      <c r="BJ20" s="13">
        <f t="shared" si="20"/>
        <v>795704.2895605618</v>
      </c>
      <c r="BL20" s="13">
        <f t="shared" si="21"/>
        <v>0</v>
      </c>
      <c r="BN20" s="13">
        <f t="shared" si="22"/>
        <v>675000</v>
      </c>
      <c r="BO20" s="33"/>
      <c r="BP20" s="13">
        <f t="shared" si="23"/>
        <v>120704.28956056177</v>
      </c>
      <c r="BQ20" s="13">
        <f t="shared" si="24"/>
        <v>0</v>
      </c>
      <c r="BR20" s="33"/>
      <c r="BS20" s="13">
        <f t="shared" si="25"/>
        <v>2397035.8588235294</v>
      </c>
      <c r="BU20" s="35" t="str">
        <f t="shared" si="26"/>
        <v>POSSIBLE</v>
      </c>
    </row>
    <row r="21" spans="1:73" ht="12.75">
      <c r="A21" s="55"/>
      <c r="B21" s="55"/>
      <c r="C21" s="20" t="s">
        <v>41</v>
      </c>
      <c r="D21" s="20"/>
      <c r="E21" s="26">
        <v>31</v>
      </c>
      <c r="F21" s="20"/>
      <c r="G21" s="56">
        <v>91.04545454545456</v>
      </c>
      <c r="H21" s="57">
        <f t="shared" si="0"/>
        <v>81.9409090909091</v>
      </c>
      <c r="I21" s="58"/>
      <c r="J21" s="56">
        <v>106.19169702768305</v>
      </c>
      <c r="K21" s="59">
        <v>0.6</v>
      </c>
      <c r="L21" s="54">
        <f t="shared" si="1"/>
        <v>63.71501821660983</v>
      </c>
      <c r="M21" s="58"/>
      <c r="N21" s="54">
        <f t="shared" si="2"/>
        <v>18.225890874299274</v>
      </c>
      <c r="O21" s="54">
        <f t="shared" si="3"/>
        <v>42.66666666666668</v>
      </c>
      <c r="P21" s="13">
        <f t="shared" si="4"/>
        <v>0</v>
      </c>
      <c r="Q21" s="58"/>
      <c r="R21" s="56">
        <v>106.19169702768305</v>
      </c>
      <c r="S21" s="59">
        <v>0.85</v>
      </c>
      <c r="T21" s="54">
        <f t="shared" si="5"/>
        <v>90.26294247353059</v>
      </c>
      <c r="U21" s="58"/>
      <c r="V21" s="54">
        <f t="shared" si="6"/>
        <v>-8.322033382621484</v>
      </c>
      <c r="W21" s="54">
        <f t="shared" si="7"/>
        <v>13.011299950711855</v>
      </c>
      <c r="X21" s="13">
        <f t="shared" si="8"/>
        <v>0</v>
      </c>
      <c r="Y21" s="60"/>
      <c r="Z21" s="71">
        <f t="shared" si="9"/>
        <v>0</v>
      </c>
      <c r="AA21" s="11"/>
      <c r="AC21" s="31" t="s">
        <v>41</v>
      </c>
      <c r="AD21" s="31"/>
      <c r="AE21" s="32">
        <v>31</v>
      </c>
      <c r="AF21" s="31"/>
      <c r="AG21" s="9">
        <v>1</v>
      </c>
      <c r="AH21" s="13">
        <f t="shared" si="10"/>
        <v>232500</v>
      </c>
      <c r="AJ21" s="9">
        <v>1</v>
      </c>
      <c r="AK21" s="13">
        <f t="shared" si="11"/>
        <v>465000</v>
      </c>
      <c r="AM21" s="72">
        <f t="shared" si="12"/>
        <v>697500</v>
      </c>
      <c r="AP21" s="31" t="s">
        <v>41</v>
      </c>
      <c r="AQ21" s="31"/>
      <c r="AR21" s="32">
        <v>31</v>
      </c>
      <c r="AS21" s="33"/>
      <c r="AT21" s="34">
        <f t="shared" si="13"/>
        <v>0.3069846796144143</v>
      </c>
      <c r="AU21" s="13">
        <f t="shared" si="14"/>
        <v>822227.7658792472</v>
      </c>
      <c r="AV21" s="87" t="str">
        <f t="shared" si="15"/>
        <v>respectée</v>
      </c>
      <c r="AW21" s="106"/>
      <c r="AX21" s="16">
        <v>0.78</v>
      </c>
      <c r="AY21" s="16">
        <f t="shared" si="16"/>
        <v>0.99</v>
      </c>
      <c r="AZ21" s="19">
        <f t="shared" si="17"/>
        <v>0.7722</v>
      </c>
      <c r="BA21" s="19">
        <v>0.26</v>
      </c>
      <c r="BB21" s="19">
        <f t="shared" si="18"/>
        <v>0.17411764705882354</v>
      </c>
      <c r="BC21" s="1"/>
      <c r="BD21" s="13">
        <f t="shared" si="19"/>
        <v>1601903.774117647</v>
      </c>
      <c r="BF21" s="31" t="s">
        <v>41</v>
      </c>
      <c r="BG21" s="31"/>
      <c r="BH21" s="32">
        <v>31</v>
      </c>
      <c r="BI21" s="31"/>
      <c r="BJ21" s="13">
        <f t="shared" si="20"/>
        <v>822227.7658792472</v>
      </c>
      <c r="BL21" s="13">
        <f t="shared" si="21"/>
        <v>0</v>
      </c>
      <c r="BN21" s="13">
        <f t="shared" si="22"/>
        <v>697500</v>
      </c>
      <c r="BO21" s="33"/>
      <c r="BP21" s="13">
        <f t="shared" si="23"/>
        <v>124727.76587924722</v>
      </c>
      <c r="BQ21" s="13">
        <f t="shared" si="24"/>
        <v>0</v>
      </c>
      <c r="BR21" s="33"/>
      <c r="BS21" s="13">
        <f t="shared" si="25"/>
        <v>1601903.774117647</v>
      </c>
      <c r="BU21" s="35" t="str">
        <f t="shared" si="26"/>
        <v>POSSIBLE</v>
      </c>
    </row>
    <row r="22" spans="1:73" ht="12.75">
      <c r="A22" s="55"/>
      <c r="B22" s="55"/>
      <c r="C22" s="20" t="s">
        <v>42</v>
      </c>
      <c r="D22" s="20"/>
      <c r="E22" s="26">
        <v>30</v>
      </c>
      <c r="F22" s="20"/>
      <c r="G22" s="56">
        <v>98.00454545454545</v>
      </c>
      <c r="H22" s="57">
        <f t="shared" si="0"/>
        <v>88.20409090909091</v>
      </c>
      <c r="I22" s="58"/>
      <c r="J22" s="56">
        <v>122.92994599450557</v>
      </c>
      <c r="K22" s="59">
        <v>0.9</v>
      </c>
      <c r="L22" s="54">
        <f t="shared" si="1"/>
        <v>110.63695139505502</v>
      </c>
      <c r="M22" s="58"/>
      <c r="N22" s="54">
        <f t="shared" si="2"/>
        <v>-22.432860485964113</v>
      </c>
      <c r="O22" s="54">
        <f t="shared" si="3"/>
        <v>20.233806180702565</v>
      </c>
      <c r="P22" s="13">
        <f t="shared" si="4"/>
        <v>0</v>
      </c>
      <c r="Q22" s="58"/>
      <c r="R22" s="56">
        <v>122.92994599450557</v>
      </c>
      <c r="S22" s="59">
        <v>1.2</v>
      </c>
      <c r="T22" s="54">
        <f t="shared" si="5"/>
        <v>147.51593519340668</v>
      </c>
      <c r="U22" s="58"/>
      <c r="V22" s="54">
        <f t="shared" si="6"/>
        <v>-59.31184428431577</v>
      </c>
      <c r="W22" s="54">
        <f t="shared" si="7"/>
        <v>0</v>
      </c>
      <c r="X22" s="13">
        <f t="shared" si="8"/>
        <v>185202.1773344156</v>
      </c>
      <c r="Y22" s="60"/>
      <c r="Z22" s="71">
        <f t="shared" si="9"/>
        <v>231502.7216680195</v>
      </c>
      <c r="AA22" s="11"/>
      <c r="AC22" s="31" t="s">
        <v>42</v>
      </c>
      <c r="AD22" s="31"/>
      <c r="AE22" s="32">
        <v>30</v>
      </c>
      <c r="AF22" s="31"/>
      <c r="AG22" s="9">
        <v>1</v>
      </c>
      <c r="AH22" s="13">
        <f t="shared" si="10"/>
        <v>225000</v>
      </c>
      <c r="AJ22" s="9">
        <v>1</v>
      </c>
      <c r="AK22" s="13">
        <f t="shared" si="11"/>
        <v>450000</v>
      </c>
      <c r="AM22" s="72">
        <f t="shared" si="12"/>
        <v>675000</v>
      </c>
      <c r="AP22" s="31" t="s">
        <v>42</v>
      </c>
      <c r="AQ22" s="31"/>
      <c r="AR22" s="32">
        <v>30</v>
      </c>
      <c r="AS22" s="33"/>
      <c r="AT22" s="34">
        <f t="shared" si="13"/>
        <v>0.3069846796144143</v>
      </c>
      <c r="AU22" s="13">
        <f t="shared" si="14"/>
        <v>795704.2895605618</v>
      </c>
      <c r="AV22" s="87" t="str">
        <f t="shared" si="15"/>
        <v>respectée</v>
      </c>
      <c r="AW22" s="106"/>
      <c r="AX22" s="16">
        <v>0.72</v>
      </c>
      <c r="AY22" s="16">
        <f t="shared" si="16"/>
        <v>0.99</v>
      </c>
      <c r="AZ22" s="19">
        <f t="shared" si="17"/>
        <v>0.7128</v>
      </c>
      <c r="BA22" s="19">
        <v>0.26</v>
      </c>
      <c r="BB22" s="19">
        <f t="shared" si="18"/>
        <v>0.17411764705882354</v>
      </c>
      <c r="BC22" s="1"/>
      <c r="BD22" s="13">
        <f t="shared" si="19"/>
        <v>1396264.6588235293</v>
      </c>
      <c r="BF22" s="31" t="s">
        <v>42</v>
      </c>
      <c r="BG22" s="31"/>
      <c r="BH22" s="32">
        <v>30</v>
      </c>
      <c r="BI22" s="31"/>
      <c r="BJ22" s="13">
        <f t="shared" si="20"/>
        <v>795704.2895605618</v>
      </c>
      <c r="BL22" s="13">
        <f t="shared" si="21"/>
        <v>231502.7216680195</v>
      </c>
      <c r="BN22" s="13">
        <f t="shared" si="22"/>
        <v>675000</v>
      </c>
      <c r="BO22" s="33"/>
      <c r="BP22" s="13">
        <f t="shared" si="23"/>
        <v>120704.28956056177</v>
      </c>
      <c r="BQ22" s="13">
        <f t="shared" si="24"/>
        <v>110798.43210745775</v>
      </c>
      <c r="BR22" s="33"/>
      <c r="BS22" s="13">
        <f t="shared" si="25"/>
        <v>1396264.6588235293</v>
      </c>
      <c r="BU22" s="35" t="str">
        <f t="shared" si="26"/>
        <v>POSSIBLE</v>
      </c>
    </row>
    <row r="23" spans="1:73" ht="12.75">
      <c r="A23" s="55"/>
      <c r="B23" s="55"/>
      <c r="C23" s="20" t="s">
        <v>43</v>
      </c>
      <c r="D23" s="20"/>
      <c r="E23" s="26">
        <v>31</v>
      </c>
      <c r="F23" s="20"/>
      <c r="G23" s="56">
        <v>83.25</v>
      </c>
      <c r="H23" s="57">
        <f t="shared" si="0"/>
        <v>74.925</v>
      </c>
      <c r="I23" s="58"/>
      <c r="J23" s="56">
        <v>143.25374707095224</v>
      </c>
      <c r="K23" s="59">
        <v>1.2</v>
      </c>
      <c r="L23" s="54">
        <f t="shared" si="1"/>
        <v>171.9044964851427</v>
      </c>
      <c r="M23" s="58"/>
      <c r="N23" s="54">
        <f t="shared" si="2"/>
        <v>-96.97949648514269</v>
      </c>
      <c r="O23" s="54">
        <f t="shared" si="3"/>
        <v>0</v>
      </c>
      <c r="P23" s="13">
        <f t="shared" si="4"/>
        <v>613965.5224355211</v>
      </c>
      <c r="Q23" s="58"/>
      <c r="R23" s="56">
        <v>143.25374707095224</v>
      </c>
      <c r="S23" s="59">
        <v>1.2</v>
      </c>
      <c r="T23" s="54">
        <f t="shared" si="5"/>
        <v>171.9044964851427</v>
      </c>
      <c r="U23" s="58"/>
      <c r="V23" s="54">
        <f t="shared" si="6"/>
        <v>-96.97949648514269</v>
      </c>
      <c r="W23" s="54">
        <f t="shared" si="7"/>
        <v>0</v>
      </c>
      <c r="X23" s="13">
        <f t="shared" si="8"/>
        <v>387917.98594057077</v>
      </c>
      <c r="Y23" s="60"/>
      <c r="Z23" s="71">
        <f t="shared" si="9"/>
        <v>1252354.3854701149</v>
      </c>
      <c r="AA23" s="11"/>
      <c r="AC23" s="31" t="s">
        <v>43</v>
      </c>
      <c r="AD23" s="31"/>
      <c r="AE23" s="32">
        <v>31</v>
      </c>
      <c r="AF23" s="31"/>
      <c r="AG23" s="9">
        <v>1</v>
      </c>
      <c r="AH23" s="13">
        <f t="shared" si="10"/>
        <v>232500</v>
      </c>
      <c r="AJ23" s="9">
        <v>1</v>
      </c>
      <c r="AK23" s="13">
        <f t="shared" si="11"/>
        <v>465000</v>
      </c>
      <c r="AM23" s="72">
        <f t="shared" si="12"/>
        <v>697500</v>
      </c>
      <c r="AP23" s="31" t="s">
        <v>43</v>
      </c>
      <c r="AQ23" s="31"/>
      <c r="AR23" s="32">
        <v>31</v>
      </c>
      <c r="AS23" s="33"/>
      <c r="AT23" s="34">
        <f t="shared" si="13"/>
        <v>0.3069846796144143</v>
      </c>
      <c r="AU23" s="13">
        <f t="shared" si="14"/>
        <v>822227.7658792472</v>
      </c>
      <c r="AV23" s="87" t="str">
        <f t="shared" si="15"/>
        <v>respectée</v>
      </c>
      <c r="AW23" s="106"/>
      <c r="AX23" s="16">
        <v>0.61</v>
      </c>
      <c r="AY23" s="16">
        <f t="shared" si="16"/>
        <v>0.99</v>
      </c>
      <c r="AZ23" s="19">
        <f t="shared" si="17"/>
        <v>0.6039</v>
      </c>
      <c r="BA23" s="19">
        <v>0.26</v>
      </c>
      <c r="BB23" s="19">
        <f t="shared" si="18"/>
        <v>0.17411764705882354</v>
      </c>
      <c r="BC23" s="1"/>
      <c r="BD23" s="13">
        <f t="shared" si="19"/>
        <v>1151129.0541176472</v>
      </c>
      <c r="BF23" s="31" t="s">
        <v>43</v>
      </c>
      <c r="BG23" s="31"/>
      <c r="BH23" s="32">
        <v>31</v>
      </c>
      <c r="BI23" s="31"/>
      <c r="BJ23" s="13">
        <f t="shared" si="20"/>
        <v>822227.7658792472</v>
      </c>
      <c r="BL23" s="13">
        <f t="shared" si="21"/>
        <v>1252354.3854701149</v>
      </c>
      <c r="BN23" s="13">
        <f t="shared" si="22"/>
        <v>697500</v>
      </c>
      <c r="BO23" s="33"/>
      <c r="BP23" s="13">
        <f t="shared" si="23"/>
        <v>124727.76587924722</v>
      </c>
      <c r="BQ23" s="13">
        <f t="shared" si="24"/>
        <v>1127626.6195908678</v>
      </c>
      <c r="BR23" s="33"/>
      <c r="BS23" s="13">
        <f t="shared" si="25"/>
        <v>1151129.0541176472</v>
      </c>
      <c r="BU23" s="35" t="str">
        <f t="shared" si="26"/>
        <v>POSSIBLE</v>
      </c>
    </row>
    <row r="24" spans="1:73" ht="12.75">
      <c r="A24" s="55"/>
      <c r="B24" s="55"/>
      <c r="C24" s="20" t="s">
        <v>44</v>
      </c>
      <c r="D24" s="20"/>
      <c r="E24" s="26">
        <v>31</v>
      </c>
      <c r="F24" s="20"/>
      <c r="G24" s="56">
        <v>88.2409090909091</v>
      </c>
      <c r="H24" s="57">
        <f t="shared" si="0"/>
        <v>79.41681818181819</v>
      </c>
      <c r="I24" s="58"/>
      <c r="J24" s="56">
        <v>124.53500908755322</v>
      </c>
      <c r="K24" s="59">
        <v>1.2</v>
      </c>
      <c r="L24" s="54">
        <f t="shared" si="1"/>
        <v>149.44201090506385</v>
      </c>
      <c r="M24" s="58"/>
      <c r="N24" s="54">
        <f t="shared" si="2"/>
        <v>-70.02519272324567</v>
      </c>
      <c r="O24" s="54">
        <f t="shared" si="3"/>
        <v>0</v>
      </c>
      <c r="P24" s="13">
        <f t="shared" si="4"/>
        <v>560201.5417859653</v>
      </c>
      <c r="Q24" s="58"/>
      <c r="R24" s="56">
        <v>124.53500908755322</v>
      </c>
      <c r="S24" s="59">
        <v>0.7</v>
      </c>
      <c r="T24" s="54">
        <f t="shared" si="5"/>
        <v>87.17450636128724</v>
      </c>
      <c r="U24" s="58"/>
      <c r="V24" s="54">
        <f t="shared" si="6"/>
        <v>-7.757688179469056</v>
      </c>
      <c r="W24" s="54">
        <f t="shared" si="7"/>
        <v>0</v>
      </c>
      <c r="X24" s="13">
        <f t="shared" si="8"/>
        <v>31030.752717876225</v>
      </c>
      <c r="Y24" s="60"/>
      <c r="Z24" s="71">
        <f t="shared" si="9"/>
        <v>739040.3681298019</v>
      </c>
      <c r="AA24" s="11"/>
      <c r="AC24" s="31" t="s">
        <v>44</v>
      </c>
      <c r="AD24" s="31"/>
      <c r="AE24" s="32">
        <v>31</v>
      </c>
      <c r="AF24" s="31"/>
      <c r="AG24" s="9">
        <v>1</v>
      </c>
      <c r="AH24" s="13">
        <f t="shared" si="10"/>
        <v>232500</v>
      </c>
      <c r="AJ24" s="9">
        <v>1</v>
      </c>
      <c r="AK24" s="13">
        <f t="shared" si="11"/>
        <v>465000</v>
      </c>
      <c r="AM24" s="72">
        <f t="shared" si="12"/>
        <v>697500</v>
      </c>
      <c r="AP24" s="31" t="s">
        <v>44</v>
      </c>
      <c r="AQ24" s="31"/>
      <c r="AR24" s="32">
        <v>31</v>
      </c>
      <c r="AS24" s="33"/>
      <c r="AT24" s="34">
        <f t="shared" si="13"/>
        <v>0.3069846796144143</v>
      </c>
      <c r="AU24" s="13">
        <f t="shared" si="14"/>
        <v>822227.7658792472</v>
      </c>
      <c r="AV24" s="87" t="str">
        <f t="shared" si="15"/>
        <v>respectée</v>
      </c>
      <c r="AW24" s="106"/>
      <c r="AX24" s="16">
        <v>0.61</v>
      </c>
      <c r="AY24" s="16">
        <f t="shared" si="16"/>
        <v>0.99</v>
      </c>
      <c r="AZ24" s="19">
        <f t="shared" si="17"/>
        <v>0.6039</v>
      </c>
      <c r="BA24" s="19">
        <v>0.26</v>
      </c>
      <c r="BB24" s="19">
        <f t="shared" si="18"/>
        <v>0.17411764705882354</v>
      </c>
      <c r="BC24" s="1"/>
      <c r="BD24" s="13">
        <f t="shared" si="19"/>
        <v>1151129.0541176472</v>
      </c>
      <c r="BF24" s="31" t="s">
        <v>44</v>
      </c>
      <c r="BG24" s="31"/>
      <c r="BH24" s="32">
        <v>31</v>
      </c>
      <c r="BI24" s="31"/>
      <c r="BJ24" s="13">
        <f t="shared" si="20"/>
        <v>822227.7658792472</v>
      </c>
      <c r="BL24" s="13">
        <f t="shared" si="21"/>
        <v>739040.3681298019</v>
      </c>
      <c r="BN24" s="13">
        <f t="shared" si="22"/>
        <v>697500</v>
      </c>
      <c r="BO24" s="33"/>
      <c r="BP24" s="13">
        <f t="shared" si="23"/>
        <v>124727.76587924722</v>
      </c>
      <c r="BQ24" s="13">
        <f t="shared" si="24"/>
        <v>614312.6022505547</v>
      </c>
      <c r="BR24" s="33"/>
      <c r="BS24" s="13">
        <f t="shared" si="25"/>
        <v>1151129.0541176472</v>
      </c>
      <c r="BU24" s="35" t="str">
        <f t="shared" si="26"/>
        <v>POSSIBLE</v>
      </c>
    </row>
    <row r="25" spans="1:73" ht="12.75">
      <c r="A25" s="55"/>
      <c r="B25" s="55"/>
      <c r="C25" s="20" t="s">
        <v>45</v>
      </c>
      <c r="D25" s="20"/>
      <c r="E25" s="26">
        <v>30</v>
      </c>
      <c r="F25" s="20"/>
      <c r="G25" s="56">
        <v>86.02727272727272</v>
      </c>
      <c r="H25" s="57">
        <f t="shared" si="0"/>
        <v>77.42454545454545</v>
      </c>
      <c r="I25" s="58"/>
      <c r="J25" s="56">
        <v>78.75812707197855</v>
      </c>
      <c r="K25" s="59">
        <v>0.4</v>
      </c>
      <c r="L25" s="54">
        <f t="shared" si="1"/>
        <v>31.503250828791423</v>
      </c>
      <c r="M25" s="58"/>
      <c r="N25" s="54">
        <f t="shared" si="2"/>
        <v>45.92129462575403</v>
      </c>
      <c r="O25" s="54">
        <f t="shared" si="3"/>
        <v>42.66666666666668</v>
      </c>
      <c r="P25" s="13">
        <f t="shared" si="4"/>
        <v>0</v>
      </c>
      <c r="Q25" s="58"/>
      <c r="R25" s="56">
        <v>78.75812707197855</v>
      </c>
      <c r="S25" s="59">
        <v>0.1</v>
      </c>
      <c r="T25" s="54">
        <f t="shared" si="5"/>
        <v>7.875812707197856</v>
      </c>
      <c r="U25" s="58"/>
      <c r="V25" s="54">
        <f t="shared" si="6"/>
        <v>69.5487327473476</v>
      </c>
      <c r="W25" s="54">
        <f t="shared" si="7"/>
        <v>21.33333333333334</v>
      </c>
      <c r="X25" s="13">
        <f t="shared" si="8"/>
        <v>0</v>
      </c>
      <c r="Y25" s="60"/>
      <c r="Z25" s="71">
        <f t="shared" si="9"/>
        <v>0</v>
      </c>
      <c r="AA25" s="11"/>
      <c r="AC25" s="31" t="s">
        <v>45</v>
      </c>
      <c r="AD25" s="31"/>
      <c r="AE25" s="32">
        <v>30</v>
      </c>
      <c r="AF25" s="31"/>
      <c r="AG25" s="9">
        <v>1</v>
      </c>
      <c r="AH25" s="13">
        <f t="shared" si="10"/>
        <v>225000</v>
      </c>
      <c r="AJ25" s="9">
        <v>1</v>
      </c>
      <c r="AK25" s="13">
        <f t="shared" si="11"/>
        <v>450000</v>
      </c>
      <c r="AM25" s="72">
        <f t="shared" si="12"/>
        <v>675000</v>
      </c>
      <c r="AP25" s="31" t="s">
        <v>45</v>
      </c>
      <c r="AQ25" s="31"/>
      <c r="AR25" s="32">
        <v>30</v>
      </c>
      <c r="AS25" s="33"/>
      <c r="AT25" s="34">
        <f t="shared" si="13"/>
        <v>0.3069846796144143</v>
      </c>
      <c r="AU25" s="13">
        <f t="shared" si="14"/>
        <v>795704.2895605618</v>
      </c>
      <c r="AV25" s="87" t="str">
        <f t="shared" si="15"/>
        <v>respectée</v>
      </c>
      <c r="AW25" s="106"/>
      <c r="AX25" s="16">
        <v>0.63</v>
      </c>
      <c r="AY25" s="16">
        <f t="shared" si="16"/>
        <v>0.99</v>
      </c>
      <c r="AZ25" s="19">
        <f t="shared" si="17"/>
        <v>0.6237</v>
      </c>
      <c r="BA25" s="19">
        <v>0.26</v>
      </c>
      <c r="BB25" s="19">
        <f t="shared" si="18"/>
        <v>0.17411764705882354</v>
      </c>
      <c r="BC25" s="1"/>
      <c r="BD25" s="13">
        <f t="shared" si="19"/>
        <v>1165317.4588235295</v>
      </c>
      <c r="BF25" s="31" t="s">
        <v>45</v>
      </c>
      <c r="BG25" s="31"/>
      <c r="BH25" s="32">
        <v>30</v>
      </c>
      <c r="BI25" s="31"/>
      <c r="BJ25" s="13">
        <f t="shared" si="20"/>
        <v>795704.2895605618</v>
      </c>
      <c r="BL25" s="13">
        <f t="shared" si="21"/>
        <v>0</v>
      </c>
      <c r="BN25" s="13">
        <f t="shared" si="22"/>
        <v>675000</v>
      </c>
      <c r="BO25" s="33"/>
      <c r="BP25" s="13">
        <f t="shared" si="23"/>
        <v>120704.28956056177</v>
      </c>
      <c r="BQ25" s="13">
        <f t="shared" si="24"/>
        <v>0</v>
      </c>
      <c r="BR25" s="33"/>
      <c r="BS25" s="13">
        <f t="shared" si="25"/>
        <v>1165317.4588235295</v>
      </c>
      <c r="BU25" s="35" t="str">
        <f t="shared" si="26"/>
        <v>POSSIBLE</v>
      </c>
    </row>
    <row r="26" spans="1:73" ht="12.75">
      <c r="A26" s="55"/>
      <c r="B26" s="55"/>
      <c r="C26" s="20" t="s">
        <v>46</v>
      </c>
      <c r="D26" s="20"/>
      <c r="E26" s="26">
        <v>31</v>
      </c>
      <c r="F26" s="20"/>
      <c r="G26" s="56">
        <v>85.27727272727273</v>
      </c>
      <c r="H26" s="57">
        <f t="shared" si="0"/>
        <v>76.74954545454545</v>
      </c>
      <c r="I26" s="58"/>
      <c r="J26" s="56">
        <v>42.644074605962906</v>
      </c>
      <c r="K26" s="59">
        <v>0.1</v>
      </c>
      <c r="L26" s="54">
        <f t="shared" si="1"/>
        <v>4.264407460596291</v>
      </c>
      <c r="M26" s="58"/>
      <c r="N26" s="54">
        <f t="shared" si="2"/>
        <v>72.48513799394917</v>
      </c>
      <c r="O26" s="54">
        <f t="shared" si="3"/>
        <v>42.66666666666668</v>
      </c>
      <c r="P26" s="13">
        <f t="shared" si="4"/>
        <v>0</v>
      </c>
      <c r="Q26" s="58"/>
      <c r="R26" s="56">
        <v>42.644074605962906</v>
      </c>
      <c r="S26" s="59">
        <v>0.1</v>
      </c>
      <c r="T26" s="54">
        <f t="shared" si="5"/>
        <v>4.264407460596291</v>
      </c>
      <c r="U26" s="58"/>
      <c r="V26" s="54">
        <f t="shared" si="6"/>
        <v>72.48513799394917</v>
      </c>
      <c r="W26" s="54">
        <f t="shared" si="7"/>
        <v>21.33333333333334</v>
      </c>
      <c r="X26" s="13">
        <f t="shared" si="8"/>
        <v>0</v>
      </c>
      <c r="Y26" s="60"/>
      <c r="Z26" s="71">
        <f t="shared" si="9"/>
        <v>0</v>
      </c>
      <c r="AA26" s="11"/>
      <c r="AC26" s="31" t="s">
        <v>46</v>
      </c>
      <c r="AD26" s="31"/>
      <c r="AE26" s="32">
        <v>31</v>
      </c>
      <c r="AF26" s="31"/>
      <c r="AG26" s="9">
        <v>1</v>
      </c>
      <c r="AH26" s="13">
        <f t="shared" si="10"/>
        <v>232500</v>
      </c>
      <c r="AJ26" s="9">
        <v>1</v>
      </c>
      <c r="AK26" s="13">
        <f t="shared" si="11"/>
        <v>465000</v>
      </c>
      <c r="AM26" s="72">
        <f t="shared" si="12"/>
        <v>697500</v>
      </c>
      <c r="AP26" s="31" t="s">
        <v>46</v>
      </c>
      <c r="AQ26" s="31"/>
      <c r="AR26" s="32">
        <v>31</v>
      </c>
      <c r="AS26" s="33"/>
      <c r="AT26" s="34">
        <f t="shared" si="13"/>
        <v>0.3069846796144143</v>
      </c>
      <c r="AU26" s="13">
        <f t="shared" si="14"/>
        <v>822227.7658792472</v>
      </c>
      <c r="AV26" s="87" t="str">
        <f t="shared" si="15"/>
        <v>respectée</v>
      </c>
      <c r="AW26" s="106"/>
      <c r="AX26" s="16">
        <v>0.72</v>
      </c>
      <c r="AY26" s="16">
        <f t="shared" si="16"/>
        <v>0.99</v>
      </c>
      <c r="AZ26" s="19">
        <f t="shared" si="17"/>
        <v>0.7128</v>
      </c>
      <c r="BA26" s="19">
        <v>0.26</v>
      </c>
      <c r="BB26" s="19">
        <f t="shared" si="18"/>
        <v>0.17411764705882354</v>
      </c>
      <c r="BC26" s="1"/>
      <c r="BD26" s="13">
        <f t="shared" si="19"/>
        <v>1442806.8141176468</v>
      </c>
      <c r="BF26" s="31" t="s">
        <v>46</v>
      </c>
      <c r="BG26" s="31"/>
      <c r="BH26" s="32">
        <v>31</v>
      </c>
      <c r="BI26" s="31"/>
      <c r="BJ26" s="13">
        <f t="shared" si="20"/>
        <v>822227.7658792472</v>
      </c>
      <c r="BL26" s="13">
        <f t="shared" si="21"/>
        <v>0</v>
      </c>
      <c r="BN26" s="13">
        <f t="shared" si="22"/>
        <v>697500</v>
      </c>
      <c r="BO26" s="33"/>
      <c r="BP26" s="13">
        <f t="shared" si="23"/>
        <v>124727.76587924722</v>
      </c>
      <c r="BQ26" s="13">
        <f t="shared" si="24"/>
        <v>0</v>
      </c>
      <c r="BR26" s="33"/>
      <c r="BS26" s="13">
        <f t="shared" si="25"/>
        <v>1442806.8141176468</v>
      </c>
      <c r="BU26" s="35" t="str">
        <f t="shared" si="26"/>
        <v>POSSIBLE</v>
      </c>
    </row>
    <row r="27" spans="1:73" ht="12.75">
      <c r="A27" s="55"/>
      <c r="B27" s="55"/>
      <c r="C27" s="20" t="s">
        <v>47</v>
      </c>
      <c r="D27" s="20"/>
      <c r="E27" s="26">
        <v>30</v>
      </c>
      <c r="F27" s="20"/>
      <c r="G27" s="56">
        <v>58.645454545454555</v>
      </c>
      <c r="H27" s="57">
        <f t="shared" si="0"/>
        <v>52.7809090909091</v>
      </c>
      <c r="I27" s="58"/>
      <c r="J27" s="56">
        <v>22.120032628108355</v>
      </c>
      <c r="K27" s="59">
        <v>0.1</v>
      </c>
      <c r="L27" s="54">
        <f t="shared" si="1"/>
        <v>2.2120032628108355</v>
      </c>
      <c r="M27" s="58"/>
      <c r="N27" s="54">
        <f t="shared" si="2"/>
        <v>50.568905828098266</v>
      </c>
      <c r="O27" s="54">
        <f t="shared" si="3"/>
        <v>42.66666666666668</v>
      </c>
      <c r="P27" s="13">
        <f t="shared" si="4"/>
        <v>0</v>
      </c>
      <c r="Q27" s="58"/>
      <c r="R27" s="56">
        <v>22.120032628108355</v>
      </c>
      <c r="S27" s="59">
        <v>0.1</v>
      </c>
      <c r="T27" s="54">
        <f t="shared" si="5"/>
        <v>2.2120032628108355</v>
      </c>
      <c r="U27" s="58"/>
      <c r="V27" s="54">
        <f t="shared" si="6"/>
        <v>50.568905828098266</v>
      </c>
      <c r="W27" s="54">
        <f t="shared" si="7"/>
        <v>21.33333333333334</v>
      </c>
      <c r="X27" s="13">
        <f t="shared" si="8"/>
        <v>0</v>
      </c>
      <c r="Y27" s="60"/>
      <c r="Z27" s="71">
        <f t="shared" si="9"/>
        <v>0</v>
      </c>
      <c r="AA27" s="11"/>
      <c r="AC27" s="31" t="s">
        <v>47</v>
      </c>
      <c r="AD27" s="31"/>
      <c r="AE27" s="32">
        <v>30</v>
      </c>
      <c r="AF27" s="31"/>
      <c r="AG27" s="9">
        <v>1</v>
      </c>
      <c r="AH27" s="13">
        <f t="shared" si="10"/>
        <v>225000</v>
      </c>
      <c r="AJ27" s="9">
        <v>1</v>
      </c>
      <c r="AK27" s="13">
        <f t="shared" si="11"/>
        <v>450000</v>
      </c>
      <c r="AM27" s="72">
        <f t="shared" si="12"/>
        <v>675000</v>
      </c>
      <c r="AP27" s="31" t="s">
        <v>47</v>
      </c>
      <c r="AQ27" s="31"/>
      <c r="AR27" s="32">
        <v>30</v>
      </c>
      <c r="AS27" s="33"/>
      <c r="AT27" s="34">
        <f t="shared" si="13"/>
        <v>0.3069846796144143</v>
      </c>
      <c r="AU27" s="13">
        <f t="shared" si="14"/>
        <v>795704.2895605618</v>
      </c>
      <c r="AV27" s="87" t="str">
        <f t="shared" si="15"/>
        <v>respectée</v>
      </c>
      <c r="AW27" s="106"/>
      <c r="AX27" s="16">
        <v>1.11</v>
      </c>
      <c r="AY27" s="16">
        <f t="shared" si="16"/>
        <v>0.99</v>
      </c>
      <c r="AZ27" s="19">
        <f t="shared" si="17"/>
        <v>1.0989</v>
      </c>
      <c r="BA27" s="19">
        <v>0.26</v>
      </c>
      <c r="BB27" s="19">
        <f t="shared" si="18"/>
        <v>0.17411764705882354</v>
      </c>
      <c r="BC27" s="1"/>
      <c r="BD27" s="13">
        <f t="shared" si="19"/>
        <v>2397035.8588235294</v>
      </c>
      <c r="BF27" s="31" t="s">
        <v>47</v>
      </c>
      <c r="BG27" s="31"/>
      <c r="BH27" s="32">
        <v>30</v>
      </c>
      <c r="BI27" s="31"/>
      <c r="BJ27" s="13">
        <f t="shared" si="20"/>
        <v>795704.2895605618</v>
      </c>
      <c r="BL27" s="13">
        <f t="shared" si="21"/>
        <v>0</v>
      </c>
      <c r="BN27" s="13">
        <f t="shared" si="22"/>
        <v>675000</v>
      </c>
      <c r="BO27" s="33"/>
      <c r="BP27" s="13">
        <f t="shared" si="23"/>
        <v>120704.28956056177</v>
      </c>
      <c r="BQ27" s="13">
        <f t="shared" si="24"/>
        <v>0</v>
      </c>
      <c r="BR27" s="33"/>
      <c r="BS27" s="13">
        <f t="shared" si="25"/>
        <v>2397035.8588235294</v>
      </c>
      <c r="BU27" s="35" t="str">
        <f t="shared" si="26"/>
        <v>POSSIBLE</v>
      </c>
    </row>
    <row r="28" spans="1:73" ht="12.75">
      <c r="A28" s="55"/>
      <c r="B28" s="55"/>
      <c r="C28" s="20" t="s">
        <v>48</v>
      </c>
      <c r="D28" s="20"/>
      <c r="E28" s="26">
        <v>31</v>
      </c>
      <c r="F28" s="20"/>
      <c r="G28" s="56">
        <v>68.06363636363638</v>
      </c>
      <c r="H28" s="57">
        <f t="shared" si="0"/>
        <v>61.25727272727274</v>
      </c>
      <c r="I28" s="58"/>
      <c r="J28" s="56">
        <v>18.967197088223603</v>
      </c>
      <c r="K28" s="59">
        <v>0.1</v>
      </c>
      <c r="L28" s="54">
        <f t="shared" si="1"/>
        <v>1.8967197088223604</v>
      </c>
      <c r="M28" s="58"/>
      <c r="N28" s="54">
        <f t="shared" si="2"/>
        <v>59.36055301845038</v>
      </c>
      <c r="O28" s="54">
        <f t="shared" si="3"/>
        <v>42.66666666666668</v>
      </c>
      <c r="P28" s="13">
        <f t="shared" si="4"/>
        <v>0</v>
      </c>
      <c r="Q28" s="58"/>
      <c r="R28" s="56">
        <v>18.967197088223603</v>
      </c>
      <c r="S28" s="59">
        <v>0.1</v>
      </c>
      <c r="T28" s="54">
        <f t="shared" si="5"/>
        <v>1.8967197088223604</v>
      </c>
      <c r="U28" s="58"/>
      <c r="V28" s="54">
        <f t="shared" si="6"/>
        <v>59.36055301845038</v>
      </c>
      <c r="W28" s="54">
        <f t="shared" si="7"/>
        <v>21.33333333333334</v>
      </c>
      <c r="X28" s="13">
        <f t="shared" si="8"/>
        <v>0</v>
      </c>
      <c r="Y28" s="60"/>
      <c r="Z28" s="71">
        <f t="shared" si="9"/>
        <v>0</v>
      </c>
      <c r="AA28" s="11"/>
      <c r="AC28" s="31" t="s">
        <v>48</v>
      </c>
      <c r="AD28" s="31"/>
      <c r="AE28" s="32">
        <v>31</v>
      </c>
      <c r="AF28" s="31"/>
      <c r="AG28" s="9">
        <v>1</v>
      </c>
      <c r="AH28" s="13">
        <f t="shared" si="10"/>
        <v>232500</v>
      </c>
      <c r="AJ28" s="9">
        <v>1</v>
      </c>
      <c r="AK28" s="13">
        <f t="shared" si="11"/>
        <v>465000</v>
      </c>
      <c r="AM28" s="72">
        <f t="shared" si="12"/>
        <v>697500</v>
      </c>
      <c r="AP28" s="31" t="s">
        <v>48</v>
      </c>
      <c r="AQ28" s="31"/>
      <c r="AR28" s="32">
        <v>31</v>
      </c>
      <c r="AS28" s="33"/>
      <c r="AT28" s="34">
        <f t="shared" si="13"/>
        <v>0.3069846796144143</v>
      </c>
      <c r="AU28" s="13">
        <f t="shared" si="14"/>
        <v>822227.7658792472</v>
      </c>
      <c r="AV28" s="87" t="str">
        <f t="shared" si="15"/>
        <v>respectée</v>
      </c>
      <c r="AW28" s="106"/>
      <c r="AX28" s="16">
        <v>1.26</v>
      </c>
      <c r="AY28" s="16">
        <f t="shared" si="16"/>
        <v>0.99</v>
      </c>
      <c r="AZ28" s="19">
        <f t="shared" si="17"/>
        <v>1.2474</v>
      </c>
      <c r="BA28" s="19">
        <v>0.26</v>
      </c>
      <c r="BB28" s="19">
        <f t="shared" si="18"/>
        <v>0.17411764705882354</v>
      </c>
      <c r="BC28" s="1"/>
      <c r="BD28" s="13">
        <f t="shared" si="19"/>
        <v>2874679.4541176474</v>
      </c>
      <c r="BF28" s="31" t="s">
        <v>48</v>
      </c>
      <c r="BG28" s="31"/>
      <c r="BH28" s="32">
        <v>31</v>
      </c>
      <c r="BI28" s="31"/>
      <c r="BJ28" s="13">
        <f t="shared" si="20"/>
        <v>822227.7658792472</v>
      </c>
      <c r="BL28" s="13">
        <f t="shared" si="21"/>
        <v>0</v>
      </c>
      <c r="BN28" s="13">
        <f t="shared" si="22"/>
        <v>697500</v>
      </c>
      <c r="BO28" s="33"/>
      <c r="BP28" s="13">
        <f t="shared" si="23"/>
        <v>124727.76587924722</v>
      </c>
      <c r="BQ28" s="13">
        <f t="shared" si="24"/>
        <v>0</v>
      </c>
      <c r="BR28" s="33"/>
      <c r="BS28" s="13">
        <f t="shared" si="25"/>
        <v>2874679.4541176474</v>
      </c>
      <c r="BU28" s="35" t="str">
        <f t="shared" si="26"/>
        <v>POSSIBLE</v>
      </c>
    </row>
    <row r="30" spans="52:69" ht="12.75">
      <c r="AZ30" s="36"/>
      <c r="BP30" s="73"/>
      <c r="BQ30" s="36"/>
    </row>
    <row r="31" spans="3:16" ht="12.75">
      <c r="C31" s="38"/>
      <c r="D31" s="38"/>
      <c r="E31" s="39"/>
      <c r="F31" s="1"/>
      <c r="G31" s="1"/>
      <c r="O31" s="36"/>
      <c r="P31" s="37"/>
    </row>
    <row r="32" spans="3:7" ht="12.75">
      <c r="C32" s="38"/>
      <c r="D32" s="38"/>
      <c r="E32" s="30"/>
      <c r="F32" s="1"/>
      <c r="G32" s="1"/>
    </row>
    <row r="33" spans="3:7" ht="12.75">
      <c r="C33" s="38"/>
      <c r="D33" s="38"/>
      <c r="E33" s="1"/>
      <c r="F33" s="1"/>
      <c r="G33" s="1"/>
    </row>
    <row r="34" spans="3:7" ht="12.75">
      <c r="C34" s="40"/>
      <c r="D34" s="40"/>
      <c r="E34" s="33"/>
      <c r="F34" s="1"/>
      <c r="G34" s="1"/>
    </row>
    <row r="35" spans="3:7" ht="12.75">
      <c r="C35" s="40"/>
      <c r="D35" s="40"/>
      <c r="E35" s="33"/>
      <c r="F35" s="1"/>
      <c r="G35" s="1"/>
    </row>
    <row r="36" spans="3:7" ht="12.75">
      <c r="C36" s="40"/>
      <c r="D36" s="40"/>
      <c r="E36" s="33"/>
      <c r="F36" s="1"/>
      <c r="G36" s="1"/>
    </row>
    <row r="37" spans="3:7" ht="12.75">
      <c r="C37" s="40"/>
      <c r="D37" s="40"/>
      <c r="E37" s="33"/>
      <c r="F37" s="1"/>
      <c r="G37" s="1"/>
    </row>
    <row r="38" spans="3:7" ht="12.75">
      <c r="C38" s="40"/>
      <c r="D38" s="40"/>
      <c r="E38" s="33"/>
      <c r="F38" s="1"/>
      <c r="G38" s="1"/>
    </row>
    <row r="39" spans="3:7" ht="12.75">
      <c r="C39" s="40"/>
      <c r="D39" s="40"/>
      <c r="E39" s="33"/>
      <c r="F39" s="1"/>
      <c r="G39" s="1"/>
    </row>
    <row r="40" spans="3:7" ht="12.75">
      <c r="C40" s="40"/>
      <c r="D40" s="40"/>
      <c r="E40" s="33"/>
      <c r="F40" s="1"/>
      <c r="G40" s="1"/>
    </row>
    <row r="41" spans="3:7" ht="12.75">
      <c r="C41" s="40"/>
      <c r="D41" s="40"/>
      <c r="E41" s="33"/>
      <c r="F41" s="1"/>
      <c r="G41" s="1"/>
    </row>
    <row r="42" spans="3:7" ht="12.75">
      <c r="C42" s="40"/>
      <c r="D42" s="40"/>
      <c r="E42" s="33"/>
      <c r="F42" s="1"/>
      <c r="G42" s="1"/>
    </row>
    <row r="43" spans="3:7" ht="12.75">
      <c r="C43" s="40"/>
      <c r="D43" s="40"/>
      <c r="E43" s="33"/>
      <c r="F43" s="1"/>
      <c r="G43" s="1"/>
    </row>
    <row r="44" spans="3:7" ht="12.75">
      <c r="C44" s="40"/>
      <c r="D44" s="40"/>
      <c r="E44" s="33"/>
      <c r="F44" s="1"/>
      <c r="G44" s="1"/>
    </row>
    <row r="45" spans="3:7" ht="12.75">
      <c r="C45" s="40"/>
      <c r="D45" s="40"/>
      <c r="E45" s="33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</sheetData>
  <conditionalFormatting sqref="AX17:AX28 BP17:BP28 BN17:BN28">
    <cfRule type="cellIs" priority="1" dxfId="0" operator="lessThan" stopIfTrue="1">
      <formula>0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Cécile Picouet</cp:lastModifiedBy>
  <cp:lastPrinted>2003-11-05T13:52:01Z</cp:lastPrinted>
  <dcterms:created xsi:type="dcterms:W3CDTF">2001-12-19T09:31:24Z</dcterms:created>
  <dcterms:modified xsi:type="dcterms:W3CDTF">2003-11-05T13:52:11Z</dcterms:modified>
  <cp:category/>
  <cp:version/>
  <cp:contentType/>
  <cp:contentStatus/>
</cp:coreProperties>
</file>