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3.xml" ContentType="application/vnd.openxmlformats-officedocument.drawing+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drawings/drawing5.xml" ContentType="application/vnd.openxmlformats-officedocument.drawing+xml"/>
  <Override PartName="/xl/worksheets/sheet14.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755" windowHeight="5040" tabRatio="662" activeTab="0"/>
  </bookViews>
  <sheets>
    <sheet name="Définitions des critères RRV" sheetId="1" r:id="rId1"/>
    <sheet name="paramètres &amp; scénarios" sheetId="2" r:id="rId2"/>
    <sheet name="pluie" sheetId="3" r:id="rId3"/>
    <sheet name="Graph-Pluie" sheetId="4" r:id="rId4"/>
    <sheet name="simulation" sheetId="5" r:id="rId5"/>
    <sheet name="simulation_graphs" sheetId="6" r:id="rId6"/>
    <sheet name="Résumé scénarios" sheetId="7" r:id="rId7"/>
    <sheet name="res_pêche" sheetId="8" r:id="rId8"/>
    <sheet name="res_récréation" sheetId="9" r:id="rId9"/>
    <sheet name="res_alimentation" sheetId="10" r:id="rId10"/>
    <sheet name="res_débord" sheetId="11" r:id="rId11"/>
    <sheet name="graphs_capacité" sheetId="12" r:id="rId12"/>
    <sheet name="graphs_seuil" sheetId="13" r:id="rId13"/>
    <sheet name="graphs_demande" sheetId="14" r:id="rId14"/>
    <sheet name="surface-volume" sheetId="15" r:id="rId15"/>
  </sheets>
  <definedNames>
    <definedName name="actualsupply">'simulation'!$F$11:$F$130</definedName>
    <definedName name="area">'paramètres &amp; scénarios'!$D$23</definedName>
    <definedName name="areafailures">'simulation'!$M$11:$M$130</definedName>
    <definedName name="arearecoveries">'simulation'!$N$11:$N$130</definedName>
    <definedName name="areavul">'simulation'!$O$11:$O$130</definedName>
    <definedName name="bottom">'simulation_graphs'!#REF!</definedName>
    <definedName name="capacity">'paramètres &amp; scénarios'!$D$15</definedName>
    <definedName name="catch">'paramètres &amp; scénarios'!$D$12</definedName>
    <definedName name="depthfailures">'simulation'!$S$11:$S$130</definedName>
    <definedName name="depthmax">'paramètres &amp; scénarios'!$D$25</definedName>
    <definedName name="depthmin">'paramètres &amp; scénarios'!$D$24</definedName>
    <definedName name="depthrecoveries">'simulation'!$T$11:$T$130</definedName>
    <definedName name="depthvul">'simulation'!$U$11:$U$130</definedName>
    <definedName name="dinm">'paramètres &amp; scénarios'!$D$13</definedName>
    <definedName name="empty">'simulation_graphs'!#REF!</definedName>
    <definedName name="fail">'paramètres &amp; scénarios'!$D$19</definedName>
    <definedName name="failures">'simulation'!$G$11:$G$130</definedName>
    <definedName name="Fiabilite_alimentation">'paramètres &amp; scénarios'!$B$32</definedName>
    <definedName name="Fiabilité_Debord.">'paramètres &amp; scénarios'!$B$35</definedName>
    <definedName name="Fiabilite_peche">'paramètres &amp; scénarios'!$B$34</definedName>
    <definedName name="Fiabilite_recreation">'paramètres &amp; scénarios'!$B$33</definedName>
    <definedName name="Intensite_alim">'paramètres &amp; scénarios'!$D$32</definedName>
    <definedName name="Intensité_Débord.">'paramètres &amp; scénarios'!$D$35</definedName>
    <definedName name="Intensite_peche">'paramètres &amp; scénarios'!$D$34</definedName>
    <definedName name="Intensite_recre">'paramètres &amp; scénarios'!$D$33</definedName>
    <definedName name="jours_alim">'paramètres &amp; scénarios'!$E$32</definedName>
    <definedName name="jours_peche">'paramètres &amp; scénarios'!$E$34</definedName>
    <definedName name="jours_recre">'paramètres &amp; scénarios'!$E$33</definedName>
    <definedName name="length">'paramètres &amp; scénarios'!$D$21</definedName>
    <definedName name="nmonth">'paramètres &amp; scénarios'!$D$14</definedName>
    <definedName name="obj_alim">'paramètres &amp; scénarios'!$C$41</definedName>
    <definedName name="pe">'pluie'!$L$4</definedName>
    <definedName name="pemon">'pluie'!$J$11:$J$22</definedName>
    <definedName name="_xlnm.Print_Area" localSheetId="11">'graphs_capacité'!$A$1:$P$37</definedName>
    <definedName name="_xlnm.Print_Area" localSheetId="13">'graphs_demande'!$A$1:$P$37</definedName>
    <definedName name="_xlnm.Print_Area" localSheetId="12">'graphs_seuil'!$A$1:$P$38</definedName>
    <definedName name="_xlnm.Print_Area" localSheetId="5">'simulation_graphs'!$A$1:$X$55</definedName>
    <definedName name="recoveries">'simulation'!$H$11:$H$130</definedName>
    <definedName name="Resilence_Debord.">'paramètres &amp; scénarios'!$C$35</definedName>
    <definedName name="Resilience_alim">'paramètres &amp; scénarios'!$C$32</definedName>
    <definedName name="Resilience_peche">'paramètres &amp; scénarios'!$C$34</definedName>
    <definedName name="Resilience_recre">'paramètres &amp; scénarios'!$C$33</definedName>
    <definedName name="Satisf_Globale_Alim">'paramètres &amp; scénarios'!$C$41</definedName>
    <definedName name="target">'paramètres &amp; scénarios'!$D$16</definedName>
    <definedName name="vul1">'simulation'!$I$11:$I$130</definedName>
    <definedName name="vul2">'simulation'!#REF!</definedName>
    <definedName name="warn">'paramètres &amp; scénarios'!$D$17</definedName>
    <definedName name="warning">'paramètres &amp; scénarios'!$D$18</definedName>
    <definedName name="width">'paramètres &amp; scénarios'!$D$22</definedName>
  </definedNames>
  <calcPr fullCalcOnLoad="1"/>
</workbook>
</file>

<file path=xl/comments2.xml><?xml version="1.0" encoding="utf-8"?>
<comments xmlns="http://schemas.openxmlformats.org/spreadsheetml/2006/main">
  <authors>
    <author>Bettina Schaefli</author>
  </authors>
  <commentList>
    <comment ref="D30" authorId="0">
      <text>
        <r>
          <rPr>
            <b/>
            <sz val="8"/>
            <rFont val="Tahoma"/>
            <family val="0"/>
          </rPr>
          <t>Bettina Schaefli:</t>
        </r>
        <r>
          <rPr>
            <sz val="8"/>
            <rFont val="Tahoma"/>
            <family val="0"/>
          </rPr>
          <t xml:space="preserve">
en anglais: vulnerability</t>
        </r>
      </text>
    </comment>
    <comment ref="B30" authorId="0">
      <text>
        <r>
          <rPr>
            <b/>
            <sz val="8"/>
            <rFont val="Tahoma"/>
            <family val="0"/>
          </rPr>
          <t>Bettina Schaefli:</t>
        </r>
        <r>
          <rPr>
            <sz val="8"/>
            <rFont val="Tahoma"/>
            <family val="0"/>
          </rPr>
          <t xml:space="preserve">
en anglais: reliability</t>
        </r>
      </text>
    </comment>
    <comment ref="C32" authorId="0">
      <text>
        <r>
          <rPr>
            <b/>
            <sz val="8"/>
            <rFont val="Tahoma"/>
            <family val="0"/>
          </rPr>
          <t>Bettina Schaefli:</t>
        </r>
        <r>
          <rPr>
            <sz val="8"/>
            <rFont val="Tahoma"/>
            <family val="0"/>
          </rPr>
          <t xml:space="preserve">
pas défini pour fiabilité =100
</t>
        </r>
      </text>
    </comment>
  </commentList>
</comments>
</file>

<file path=xl/sharedStrings.xml><?xml version="1.0" encoding="utf-8"?>
<sst xmlns="http://schemas.openxmlformats.org/spreadsheetml/2006/main" count="424" uniqueCount="233">
  <si>
    <t>Catchment Area</t>
  </si>
  <si>
    <t>m2</t>
  </si>
  <si>
    <t>m3</t>
  </si>
  <si>
    <t>Reliability</t>
  </si>
  <si>
    <t>Resilience</t>
  </si>
  <si>
    <t>Vulnerability</t>
  </si>
  <si>
    <t>mm</t>
  </si>
  <si>
    <t>%</t>
  </si>
  <si>
    <t>Recreation</t>
  </si>
  <si>
    <t>Area</t>
  </si>
  <si>
    <t>Capacity =</t>
  </si>
  <si>
    <t xml:space="preserve">Length = </t>
  </si>
  <si>
    <t>m</t>
  </si>
  <si>
    <t>Depth (m)</t>
  </si>
  <si>
    <t>Width (m)</t>
  </si>
  <si>
    <t>Area (m2)</t>
  </si>
  <si>
    <t xml:space="preserve">Profile of valley = V </t>
  </si>
  <si>
    <t xml:space="preserve">Area = </t>
  </si>
  <si>
    <t>Vol (m3)</t>
  </si>
  <si>
    <t>Area target</t>
  </si>
  <si>
    <t>Nom du paramètre</t>
  </si>
  <si>
    <t>Valeur</t>
  </si>
  <si>
    <t>dinm</t>
  </si>
  <si>
    <t>target</t>
  </si>
  <si>
    <t>warning</t>
  </si>
  <si>
    <t xml:space="preserve">warn </t>
  </si>
  <si>
    <t>Warn capacity</t>
  </si>
  <si>
    <t>index</t>
  </si>
  <si>
    <t>warning index</t>
  </si>
  <si>
    <t>catch</t>
  </si>
  <si>
    <t>capacity</t>
  </si>
  <si>
    <t>Reservoir capacity</t>
  </si>
  <si>
    <t>fail</t>
  </si>
  <si>
    <t>Fail level</t>
  </si>
  <si>
    <t>Pêche</t>
  </si>
  <si>
    <t>10^6 l/jour</t>
  </si>
  <si>
    <t>Eau potable</t>
  </si>
  <si>
    <t>Volume=</t>
  </si>
  <si>
    <t>0.5*D*W*L</t>
  </si>
  <si>
    <t>Depth D=</t>
  </si>
  <si>
    <t>Width =</t>
  </si>
  <si>
    <t>10*D</t>
  </si>
  <si>
    <t>(V/(5*L))^0.5</t>
  </si>
  <si>
    <t>Année</t>
  </si>
  <si>
    <t>Mois</t>
  </si>
  <si>
    <t>Pluie effective</t>
  </si>
  <si>
    <t>Abbréviation</t>
  </si>
  <si>
    <t>area</t>
  </si>
  <si>
    <t>depth</t>
  </si>
  <si>
    <t>Days in month</t>
  </si>
  <si>
    <t>Explication</t>
  </si>
  <si>
    <t>Tous les mois ont le même nombre de jours.</t>
  </si>
  <si>
    <t>Supply target</t>
  </si>
  <si>
    <t>Fiabilité</t>
  </si>
  <si>
    <t>10^6 l</t>
  </si>
  <si>
    <t>Dans le cadre de cet exercice les critères RRV sont définis comme suit</t>
  </si>
  <si>
    <t>R</t>
  </si>
  <si>
    <t>Résilience</t>
  </si>
  <si>
    <t>Intensité</t>
  </si>
  <si>
    <t>Abbr.</t>
  </si>
  <si>
    <t>Anglais</t>
  </si>
  <si>
    <t>Français</t>
  </si>
  <si>
    <t>Définition</t>
  </si>
  <si>
    <t>=somme des mois sans défaillance / nombre de mois total</t>
  </si>
  <si>
    <t>mois de rétablissement = mois sans défaillance qui suit un mois avec défaillance</t>
  </si>
  <si>
    <t>alimentation</t>
  </si>
  <si>
    <t>[%]</t>
  </si>
  <si>
    <t>récréation</t>
  </si>
  <si>
    <t>pêche</t>
  </si>
  <si>
    <t>Objectif d'alimentation</t>
  </si>
  <si>
    <t>Eau fournie</t>
  </si>
  <si>
    <t>Défaillance d'alimentation totale</t>
  </si>
  <si>
    <t># jours de défaillance</t>
  </si>
  <si>
    <t>nmonth</t>
  </si>
  <si>
    <t>Total number of months</t>
  </si>
  <si>
    <t>Atteinte de l'objectif d'alimentation</t>
  </si>
  <si>
    <t>Intensité de la défaillance max.</t>
  </si>
  <si>
    <t>10^6 l/jour pendant 1 mois</t>
  </si>
  <si>
    <t>Détails pour l'alimentation en eau potable</t>
  </si>
  <si>
    <t>Capacité</t>
  </si>
  <si>
    <t>Niveau de défaillance</t>
  </si>
  <si>
    <t>Niveau critique de rempl.</t>
  </si>
  <si>
    <t>10^'6 l/jour</t>
  </si>
  <si>
    <t>Niveau critique</t>
  </si>
  <si>
    <t>% de remplissage</t>
  </si>
  <si>
    <t>Surface critique</t>
  </si>
  <si>
    <t>obj_alim</t>
  </si>
  <si>
    <t>Fiabilite_alimentation</t>
  </si>
  <si>
    <t>Fiabilite_recreation</t>
  </si>
  <si>
    <t>Resilience_recre</t>
  </si>
  <si>
    <t>Intensite_recre</t>
  </si>
  <si>
    <t>Fiabilite_peche</t>
  </si>
  <si>
    <t>Resilience_peche</t>
  </si>
  <si>
    <t>Intensite_peche</t>
  </si>
  <si>
    <t>jours_recre</t>
  </si>
  <si>
    <t>target1</t>
  </si>
  <si>
    <t>Created by Bettina Schaefli on 27.01.2003</t>
  </si>
  <si>
    <t>target2</t>
  </si>
  <si>
    <t>target3</t>
  </si>
  <si>
    <t>target4</t>
  </si>
  <si>
    <t>target5</t>
  </si>
  <si>
    <t>target6</t>
  </si>
  <si>
    <t>warning1</t>
  </si>
  <si>
    <t>warning2</t>
  </si>
  <si>
    <t>warning3</t>
  </si>
  <si>
    <t>warning4</t>
  </si>
  <si>
    <t>warning5</t>
  </si>
  <si>
    <t>warning6</t>
  </si>
  <si>
    <t>warning7</t>
  </si>
  <si>
    <t>capacity1</t>
  </si>
  <si>
    <t>Created by Bettina Schaefli on 27.01.2003
Modified by Bettina Schaefli on 27.01.2003</t>
  </si>
  <si>
    <t>capacity2</t>
  </si>
  <si>
    <t>capacity3</t>
  </si>
  <si>
    <t>capacity4</t>
  </si>
  <si>
    <t>capacity5</t>
  </si>
  <si>
    <t>capacity6</t>
  </si>
  <si>
    <t>capacity7</t>
  </si>
  <si>
    <t>capacity8</t>
  </si>
  <si>
    <t>capacity9</t>
  </si>
  <si>
    <t>capacity10</t>
  </si>
  <si>
    <t>Scenario Summary</t>
  </si>
  <si>
    <t>Changing Cells:</t>
  </si>
  <si>
    <t>Current Values:</t>
  </si>
  <si>
    <t>Result Cells:</t>
  </si>
  <si>
    <t>Notes:  Current Values column represents values of changing cells at</t>
  </si>
  <si>
    <t>time Scenario Summary Report was created.  Changing cells for each</t>
  </si>
  <si>
    <t>scenario are highlighted in gray.</t>
  </si>
  <si>
    <t>Resilience_alim</t>
  </si>
  <si>
    <t>Intensite_alim</t>
  </si>
  <si>
    <t>jours_alim</t>
  </si>
  <si>
    <t>jours_peche</t>
  </si>
  <si>
    <t>Profondeur critique min</t>
  </si>
  <si>
    <t>Profondeur critique max</t>
  </si>
  <si>
    <t xml:space="preserve">m </t>
  </si>
  <si>
    <t>Depth minimum target</t>
  </si>
  <si>
    <t>Depth maximum target</t>
  </si>
  <si>
    <t>capacity11</t>
  </si>
  <si>
    <t>Created by Bettina Schaefli on 28.01.2003</t>
  </si>
  <si>
    <t>capacity12</t>
  </si>
  <si>
    <t>capacity14</t>
  </si>
  <si>
    <t xml:space="preserve">
Modified by Bettina Schaefli on 28.01.2003</t>
  </si>
  <si>
    <t>Created by Bettina Schaefli on 28.01.2003
Modified by Bettina Schaefli on 28.01.2003</t>
  </si>
  <si>
    <t>capacity15</t>
  </si>
  <si>
    <t>satisfaction de la demande</t>
  </si>
  <si>
    <t>Capacité [m3]</t>
  </si>
  <si>
    <t>Capacité [10^6m3]</t>
  </si>
  <si>
    <t>Demande</t>
  </si>
  <si>
    <t>Scénarios variation de la capacité</t>
  </si>
  <si>
    <t>Scénarios variation du seuil critique de remplissage</t>
  </si>
  <si>
    <t>Scénarios variation de la demande en eau potable</t>
  </si>
  <si>
    <t>Seuil critique de remplissage</t>
  </si>
  <si>
    <t>Seuil de défaillance p. alimentation</t>
  </si>
  <si>
    <t>Surface objectif</t>
  </si>
  <si>
    <t>Prof max</t>
  </si>
  <si>
    <t>Prof min</t>
  </si>
  <si>
    <t>défaillance</t>
  </si>
  <si>
    <t>rétablissement</t>
  </si>
  <si>
    <t>inténsité de défaillance</t>
  </si>
  <si>
    <t>Surface-objectif</t>
  </si>
  <si>
    <t>Stockage relatif</t>
  </si>
  <si>
    <t>Stockage</t>
  </si>
  <si>
    <t>ou S' correspond au mois précédent</t>
  </si>
  <si>
    <t>S est le stockage à la fin du mois; la pluie pendant le mois, E l'évaporation pendant le mois, le prélèvement Q prévu est fixé au début de mois basé sur le stockage actuel disponible</t>
  </si>
  <si>
    <t>S = S' + P-E - Q</t>
  </si>
  <si>
    <t>Prélèvement possible</t>
  </si>
  <si>
    <t>Prélèvement prévu</t>
  </si>
  <si>
    <t>Limite de défaillance</t>
  </si>
  <si>
    <t>Seuil critique</t>
  </si>
  <si>
    <t>Génération de scénarios: a) manuellement en modifiant les cases oranges</t>
  </si>
  <si>
    <t>V</t>
  </si>
  <si>
    <t>=intensité maximale des défaillances sur 1 mois/valeur obectif</t>
  </si>
  <si>
    <t>V alimentation en eau potable</t>
  </si>
  <si>
    <t>V pêche</t>
  </si>
  <si>
    <t>V récréation</t>
  </si>
  <si>
    <t>Unité</t>
  </si>
  <si>
    <t>prélèvement = IF(stockage relatif &gt; seuil critique;demande;demande/2)</t>
  </si>
  <si>
    <t>si prélèvement&lt; demande*niveau de défaillance alors la situation est une défaillance</t>
  </si>
  <si>
    <t>Feuille de gestion des simulations et des scénarios</t>
  </si>
  <si>
    <t>Résultats de la simulation</t>
  </si>
  <si>
    <t>à faire varier pour analyse de scénarios</t>
  </si>
  <si>
    <t>Paramètres de simulation</t>
  </si>
  <si>
    <t>=max (intensités de défaillance)/demande</t>
  </si>
  <si>
    <t>=max (intensités de défaillance)/(profondeur objectif max - profondeur objectif min.)</t>
  </si>
  <si>
    <t>=max (intensités de défaillance)/surface objectif</t>
  </si>
  <si>
    <t>Profondeur objectif min.</t>
  </si>
  <si>
    <t>Profondeur objectif max.</t>
  </si>
  <si>
    <t>1 mois  Vul</t>
  </si>
  <si>
    <t>1 mois  Vul %</t>
  </si>
  <si>
    <t>Résultats pour la pêche</t>
  </si>
  <si>
    <t>Résultats pour la récréation</t>
  </si>
  <si>
    <t>Résultats pour l'alimentation en eau potable</t>
  </si>
  <si>
    <t>Largeur objectif</t>
  </si>
  <si>
    <t>width</t>
  </si>
  <si>
    <t>width target</t>
  </si>
  <si>
    <t>length</t>
  </si>
  <si>
    <t>actual lake length</t>
  </si>
  <si>
    <t>Longueur du lac</t>
  </si>
  <si>
    <t>Evaporation</t>
  </si>
  <si>
    <t>Relation Volume-Surface-Profondeur</t>
  </si>
  <si>
    <t>L * W</t>
  </si>
  <si>
    <t>= 100*V^0.6</t>
  </si>
  <si>
    <t>= 0.5 D*10D*L</t>
  </si>
  <si>
    <t>Ceci est le résultat automatique de la fonction tools\scenarios\summary, executé dans la feuille paramètres &amp; scénarios</t>
  </si>
  <si>
    <t>Si on modifie les scénarios, il faut refaire un résumé et copier les nouvelles valeurs dans cette feuille</t>
  </si>
  <si>
    <t>Profondeur actuelle</t>
  </si>
  <si>
    <t>!!!!!!    Important :</t>
  </si>
  <si>
    <t>Seulement les cases en -Bleu Clair- sont à remplir      !!!!!!</t>
  </si>
  <si>
    <t>Rq:           *</t>
  </si>
  <si>
    <t>L'intensité pourrait aussi se définir comme la moyenne (au lieu du maximum) de toutes les défaillances observées.</t>
  </si>
  <si>
    <t>=somme des mois de rétablissement / somme des mois avec défaillance;</t>
  </si>
  <si>
    <t xml:space="preserve">Génération de scénarios: b) automatiquement avec la fonction tools\scenarios et ensuite edit ou add ou delete; si on clique sur "summary" Excel </t>
  </si>
  <si>
    <t>fait un résumé automatique; il suffit ensuite de copier les nouvelles valeurs dans la feuille appellée "résumé scénarios"</t>
  </si>
  <si>
    <t xml:space="preserve">Intensité totale de débordement </t>
  </si>
  <si>
    <t>10^6 m3</t>
  </si>
  <si>
    <t xml:space="preserve">Intensité maximale de débordement </t>
  </si>
  <si>
    <t>10^6 m3 pendant 1 mois</t>
  </si>
  <si>
    <t>Débordement</t>
  </si>
  <si>
    <t>Volume Débordé</t>
  </si>
  <si>
    <t xml:space="preserve">intensité de défaillance </t>
  </si>
  <si>
    <t>Défaillance</t>
  </si>
  <si>
    <t xml:space="preserve">Rétablissement </t>
  </si>
  <si>
    <t>débordement</t>
  </si>
  <si>
    <t>Détails pour les débordements</t>
  </si>
  <si>
    <t>*</t>
  </si>
  <si>
    <t>* intensité déb = intensité maximale de débordement normalisée par rapport à Max(Pnette mensuelle)</t>
  </si>
  <si>
    <t xml:space="preserve">Pluie nette maximale : </t>
  </si>
  <si>
    <t>Fiabilité_Debord.</t>
  </si>
  <si>
    <t>Resilence_Debord.</t>
  </si>
  <si>
    <t>Intensité_Débord.</t>
  </si>
  <si>
    <t xml:space="preserve">Résultats pour les débordements </t>
  </si>
  <si>
    <t xml:space="preserve">Taux de remplissage intial du réservoir </t>
  </si>
  <si>
    <t xml:space="preserve">N° du Mois </t>
  </si>
  <si>
    <t>Pluie Observée</t>
  </si>
</sst>
</file>

<file path=xl/styles.xml><?xml version="1.0" encoding="utf-8"?>
<styleSheet xmlns="http://schemas.openxmlformats.org/spreadsheetml/2006/main">
  <numFmts count="37">
    <numFmt numFmtId="5" formatCode="&quot;SFr.&quot;\ #,##0;&quot;SFr.&quot;\ \-#,##0"/>
    <numFmt numFmtId="6" formatCode="&quot;SFr.&quot;\ #,##0;[Red]&quot;SFr.&quot;\ \-#,##0"/>
    <numFmt numFmtId="7" formatCode="&quot;SFr.&quot;\ #,##0.00;&quot;SFr.&quot;\ \-#,##0.00"/>
    <numFmt numFmtId="8" formatCode="&quot;SFr.&quot;\ #,##0.00;[Red]&quot;SFr.&quot;\ \-#,##0.00"/>
    <numFmt numFmtId="42" formatCode="_ &quot;SFr.&quot;\ * #,##0_ ;_ &quot;SFr.&quot;\ * \-#,##0_ ;_ &quot;SFr.&quot;\ * &quot;-&quot;_ ;_ @_ "/>
    <numFmt numFmtId="41" formatCode="_ * #,##0_ ;_ * \-#,##0_ ;_ * &quot;-&quot;_ ;_ @_ "/>
    <numFmt numFmtId="44" formatCode="_ &quot;SFr.&quot;\ * #,##0.00_ ;_ &quot;SFr.&quot;\ * \-#,##0.00_ ;_ &quot;SFr.&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00"/>
    <numFmt numFmtId="181" formatCode="#,##0.0"/>
    <numFmt numFmtId="182" formatCode="0.0"/>
    <numFmt numFmtId="183" formatCode="0.000000"/>
    <numFmt numFmtId="184" formatCode="0.0000000"/>
    <numFmt numFmtId="185" formatCode="0.00000"/>
    <numFmt numFmtId="186" formatCode="0.0000"/>
    <numFmt numFmtId="187" formatCode="0.000"/>
    <numFmt numFmtId="188" formatCode="0.E+00"/>
    <numFmt numFmtId="189" formatCode="0.0E+00"/>
    <numFmt numFmtId="190" formatCode="0.00000000"/>
    <numFmt numFmtId="191" formatCode="\1000,000"/>
    <numFmt numFmtId="192" formatCode="###,###"/>
  </numFmts>
  <fonts count="29">
    <font>
      <sz val="10"/>
      <name val="Arial"/>
      <family val="0"/>
    </font>
    <font>
      <b/>
      <sz val="10"/>
      <name val="Arial"/>
      <family val="0"/>
    </font>
    <font>
      <b/>
      <sz val="12"/>
      <name val="Arial"/>
      <family val="0"/>
    </font>
    <font>
      <b/>
      <sz val="11.5"/>
      <name val="Arial"/>
      <family val="0"/>
    </font>
    <font>
      <sz val="11.5"/>
      <name val="Arial"/>
      <family val="0"/>
    </font>
    <font>
      <sz val="10.25"/>
      <name val="Arial"/>
      <family val="0"/>
    </font>
    <font>
      <b/>
      <sz val="10.25"/>
      <name val="Arial"/>
      <family val="0"/>
    </font>
    <font>
      <sz val="11.25"/>
      <name val="Arial"/>
      <family val="0"/>
    </font>
    <font>
      <b/>
      <sz val="11.25"/>
      <name val="Arial"/>
      <family val="0"/>
    </font>
    <font>
      <b/>
      <sz val="11"/>
      <name val="Arial"/>
      <family val="0"/>
    </font>
    <font>
      <sz val="11"/>
      <name val="Arial"/>
      <family val="0"/>
    </font>
    <font>
      <sz val="8"/>
      <name val="Arial"/>
      <family val="2"/>
    </font>
    <font>
      <sz val="8"/>
      <name val="Tahoma"/>
      <family val="0"/>
    </font>
    <font>
      <b/>
      <sz val="8"/>
      <name val="Tahoma"/>
      <family val="0"/>
    </font>
    <font>
      <u val="single"/>
      <sz val="10"/>
      <color indexed="12"/>
      <name val="Arial"/>
      <family val="0"/>
    </font>
    <font>
      <u val="single"/>
      <sz val="10"/>
      <color indexed="36"/>
      <name val="Arial"/>
      <family val="0"/>
    </font>
    <font>
      <sz val="9"/>
      <color indexed="9"/>
      <name val="Arial"/>
      <family val="0"/>
    </font>
    <font>
      <sz val="12"/>
      <name val="Arial"/>
      <family val="0"/>
    </font>
    <font>
      <b/>
      <sz val="10.5"/>
      <name val="Arial"/>
      <family val="0"/>
    </font>
    <font>
      <sz val="10.5"/>
      <name val="Arial"/>
      <family val="0"/>
    </font>
    <font>
      <b/>
      <sz val="8"/>
      <name val="Arial"/>
      <family val="2"/>
    </font>
    <font>
      <b/>
      <sz val="10"/>
      <color indexed="10"/>
      <name val="Arial"/>
      <family val="2"/>
    </font>
    <font>
      <b/>
      <sz val="12"/>
      <color indexed="10"/>
      <name val="Arial"/>
      <family val="2"/>
    </font>
    <font>
      <b/>
      <sz val="10"/>
      <color indexed="12"/>
      <name val="Arial"/>
      <family val="2"/>
    </font>
    <font>
      <sz val="10"/>
      <color indexed="12"/>
      <name val="Arial"/>
      <family val="2"/>
    </font>
    <font>
      <b/>
      <sz val="11"/>
      <color indexed="9"/>
      <name val="Arial"/>
      <family val="0"/>
    </font>
    <font>
      <b/>
      <sz val="10"/>
      <color indexed="8"/>
      <name val="Arial"/>
      <family val="0"/>
    </font>
    <font>
      <b/>
      <sz val="10"/>
      <color indexed="18"/>
      <name val="Arial"/>
      <family val="0"/>
    </font>
    <font>
      <sz val="8"/>
      <color indexed="12"/>
      <name val="Arial"/>
      <family val="2"/>
    </font>
  </fonts>
  <fills count="14">
    <fill>
      <patternFill/>
    </fill>
    <fill>
      <patternFill patternType="gray125"/>
    </fill>
    <fill>
      <patternFill patternType="solid">
        <fgColor indexed="47"/>
        <bgColor indexed="64"/>
      </patternFill>
    </fill>
    <fill>
      <patternFill patternType="solid">
        <fgColor indexed="20"/>
        <bgColor indexed="64"/>
      </patternFill>
    </fill>
    <fill>
      <patternFill patternType="solid">
        <fgColor indexed="22"/>
        <bgColor indexed="64"/>
      </patternFill>
    </fill>
    <fill>
      <patternFill patternType="solid">
        <fgColor indexed="42"/>
        <bgColor indexed="64"/>
      </patternFill>
    </fill>
    <fill>
      <patternFill patternType="solid">
        <fgColor indexed="41"/>
        <bgColor indexed="64"/>
      </patternFill>
    </fill>
    <fill>
      <patternFill patternType="solid">
        <fgColor indexed="45"/>
        <bgColor indexed="64"/>
      </patternFill>
    </fill>
    <fill>
      <patternFill patternType="solid">
        <fgColor indexed="13"/>
        <bgColor indexed="64"/>
      </patternFill>
    </fill>
    <fill>
      <patternFill patternType="solid">
        <fgColor indexed="11"/>
        <bgColor indexed="64"/>
      </patternFill>
    </fill>
    <fill>
      <patternFill patternType="solid">
        <fgColor indexed="10"/>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s>
  <borders count="19">
    <border>
      <left/>
      <right/>
      <top/>
      <bottom/>
      <diagonal/>
    </border>
    <border>
      <left style="thin"/>
      <right style="thin"/>
      <top style="thin"/>
      <bottom style="thin"/>
    </border>
    <border>
      <left style="medium"/>
      <right style="thin"/>
      <top style="medium"/>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medium"/>
      <bottom style="thin"/>
    </border>
    <border>
      <left style="thin"/>
      <right style="medium"/>
      <top style="thin"/>
      <bottom style="medium"/>
    </border>
    <border>
      <left style="thin"/>
      <right style="thin"/>
      <top style="medium"/>
      <bottom style="thin"/>
    </border>
    <border>
      <left style="medium"/>
      <right style="thin"/>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style="thin"/>
      <right>
        <color indexed="63"/>
      </right>
      <top style="thin"/>
      <bottom style="thin"/>
    </border>
    <border>
      <left style="thin"/>
      <right>
        <color indexed="63"/>
      </right>
      <top>
        <color indexed="63"/>
      </top>
      <bottom>
        <color indexed="63"/>
      </bottom>
    </border>
    <border>
      <left>
        <color indexed="63"/>
      </left>
      <right>
        <color indexed="63"/>
      </right>
      <top>
        <color indexed="63"/>
      </top>
      <bottom style="medium"/>
    </border>
    <border>
      <left style="thin"/>
      <right style="thin"/>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5" fillId="0" borderId="0" applyNumberForma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cellStyleXfs>
  <cellXfs count="159">
    <xf numFmtId="0" fontId="0" fillId="0" borderId="0" xfId="0" applyAlignment="1">
      <alignment/>
    </xf>
    <xf numFmtId="3" fontId="0" fillId="0" borderId="0" xfId="0" applyNumberFormat="1" applyAlignment="1">
      <alignment/>
    </xf>
    <xf numFmtId="0" fontId="0" fillId="0" borderId="0" xfId="0" applyAlignment="1" quotePrefix="1">
      <alignment/>
    </xf>
    <xf numFmtId="182" fontId="0" fillId="0" borderId="0" xfId="0" applyNumberFormat="1" applyAlignment="1">
      <alignment/>
    </xf>
    <xf numFmtId="1" fontId="0" fillId="0" borderId="0" xfId="0" applyNumberFormat="1" applyAlignment="1">
      <alignment/>
    </xf>
    <xf numFmtId="187" fontId="0" fillId="0" borderId="0" xfId="0" applyNumberFormat="1" applyAlignment="1">
      <alignment/>
    </xf>
    <xf numFmtId="0" fontId="0" fillId="0" borderId="0" xfId="0" applyFill="1" applyAlignment="1">
      <alignment/>
    </xf>
    <xf numFmtId="0" fontId="11" fillId="0" borderId="0" xfId="0" applyFont="1" applyAlignment="1">
      <alignment/>
    </xf>
    <xf numFmtId="0" fontId="11" fillId="0" borderId="0" xfId="0" applyFont="1" applyAlignment="1">
      <alignment wrapText="1"/>
    </xf>
    <xf numFmtId="0" fontId="11" fillId="0" borderId="0" xfId="0" applyFont="1" applyAlignment="1" quotePrefix="1">
      <alignment/>
    </xf>
    <xf numFmtId="0" fontId="11" fillId="0" borderId="0" xfId="0" applyFont="1" applyFill="1" applyAlignment="1">
      <alignment/>
    </xf>
    <xf numFmtId="0" fontId="11" fillId="0" borderId="0" xfId="0" applyFont="1" applyFill="1" applyAlignment="1">
      <alignment wrapText="1"/>
    </xf>
    <xf numFmtId="0" fontId="1" fillId="0" borderId="0" xfId="0" applyFont="1" applyFill="1" applyAlignment="1">
      <alignment/>
    </xf>
    <xf numFmtId="0" fontId="1" fillId="0" borderId="0" xfId="0" applyFont="1" applyAlignment="1">
      <alignment/>
    </xf>
    <xf numFmtId="1" fontId="0" fillId="0" borderId="1" xfId="0" applyNumberFormat="1" applyFill="1" applyBorder="1" applyAlignment="1">
      <alignment/>
    </xf>
    <xf numFmtId="2" fontId="0" fillId="0" borderId="1" xfId="0" applyNumberFormat="1" applyFill="1" applyBorder="1" applyAlignment="1">
      <alignment/>
    </xf>
    <xf numFmtId="0" fontId="0" fillId="0" borderId="1" xfId="0" applyFill="1" applyBorder="1" applyAlignment="1">
      <alignment horizontal="center"/>
    </xf>
    <xf numFmtId="0" fontId="0" fillId="0" borderId="2" xfId="0" applyFill="1" applyBorder="1" applyAlignment="1">
      <alignment/>
    </xf>
    <xf numFmtId="0" fontId="0" fillId="0" borderId="3" xfId="0" applyFill="1" applyBorder="1" applyAlignment="1">
      <alignment/>
    </xf>
    <xf numFmtId="0" fontId="0" fillId="0" borderId="0" xfId="0" applyFill="1" applyBorder="1" applyAlignment="1">
      <alignment/>
    </xf>
    <xf numFmtId="0" fontId="0" fillId="0" borderId="0" xfId="0" applyFill="1" applyBorder="1" applyAlignment="1">
      <alignment horizontal="center"/>
    </xf>
    <xf numFmtId="0" fontId="0" fillId="0" borderId="4" xfId="0" applyFill="1" applyBorder="1" applyAlignment="1">
      <alignment/>
    </xf>
    <xf numFmtId="1" fontId="0" fillId="0" borderId="3" xfId="0" applyNumberFormat="1" applyFill="1" applyBorder="1" applyAlignment="1">
      <alignment/>
    </xf>
    <xf numFmtId="1" fontId="0" fillId="0" borderId="5" xfId="0" applyNumberFormat="1" applyFill="1" applyBorder="1" applyAlignment="1">
      <alignment/>
    </xf>
    <xf numFmtId="2" fontId="0" fillId="0" borderId="5" xfId="0" applyNumberFormat="1" applyFill="1" applyBorder="1" applyAlignment="1">
      <alignment/>
    </xf>
    <xf numFmtId="0" fontId="11" fillId="0" borderId="6" xfId="0" applyFont="1" applyFill="1" applyBorder="1" applyAlignment="1">
      <alignment/>
    </xf>
    <xf numFmtId="1" fontId="0" fillId="0" borderId="7" xfId="0" applyNumberFormat="1" applyFill="1" applyBorder="1" applyAlignment="1">
      <alignment/>
    </xf>
    <xf numFmtId="0" fontId="1" fillId="0" borderId="8" xfId="0" applyFont="1" applyFill="1" applyBorder="1" applyAlignment="1">
      <alignment/>
    </xf>
    <xf numFmtId="0" fontId="1" fillId="0" borderId="4" xfId="0" applyFont="1" applyFill="1" applyBorder="1" applyAlignment="1">
      <alignment/>
    </xf>
    <xf numFmtId="0" fontId="1" fillId="0" borderId="9" xfId="0" applyFont="1" applyFill="1" applyBorder="1" applyAlignment="1">
      <alignment/>
    </xf>
    <xf numFmtId="3" fontId="0" fillId="2" borderId="0" xfId="0" applyNumberFormat="1" applyFill="1" applyAlignment="1">
      <alignment/>
    </xf>
    <xf numFmtId="0" fontId="0" fillId="2" borderId="0" xfId="0" applyFill="1" applyAlignment="1">
      <alignment/>
    </xf>
    <xf numFmtId="0" fontId="0" fillId="0" borderId="0" xfId="0" applyFill="1" applyBorder="1" applyAlignment="1">
      <alignment/>
    </xf>
    <xf numFmtId="181" fontId="0" fillId="0" borderId="0" xfId="0" applyNumberFormat="1" applyFill="1" applyBorder="1" applyAlignment="1">
      <alignment/>
    </xf>
    <xf numFmtId="1" fontId="0" fillId="0" borderId="0" xfId="0" applyNumberFormat="1" applyFill="1" applyBorder="1" applyAlignment="1">
      <alignment/>
    </xf>
    <xf numFmtId="2" fontId="0" fillId="0" borderId="0" xfId="0" applyNumberFormat="1" applyFill="1" applyBorder="1" applyAlignment="1">
      <alignment/>
    </xf>
    <xf numFmtId="0" fontId="0" fillId="0" borderId="10" xfId="0" applyFill="1" applyBorder="1" applyAlignment="1">
      <alignment/>
    </xf>
    <xf numFmtId="0" fontId="16" fillId="3" borderId="11" xfId="0" applyFont="1" applyFill="1" applyBorder="1" applyAlignment="1">
      <alignment horizontal="right"/>
    </xf>
    <xf numFmtId="0" fontId="16" fillId="3" borderId="12" xfId="0" applyFont="1" applyFill="1" applyBorder="1" applyAlignment="1">
      <alignment horizontal="right"/>
    </xf>
    <xf numFmtId="181" fontId="0" fillId="4" borderId="0" xfId="0" applyNumberFormat="1" applyFill="1" applyBorder="1" applyAlignment="1">
      <alignment/>
    </xf>
    <xf numFmtId="0" fontId="0" fillId="4" borderId="0" xfId="0" applyFill="1" applyBorder="1" applyAlignment="1">
      <alignment/>
    </xf>
    <xf numFmtId="0" fontId="11" fillId="0" borderId="0" xfId="0" applyFont="1" applyFill="1" applyBorder="1" applyAlignment="1">
      <alignment vertical="top" wrapText="1"/>
    </xf>
    <xf numFmtId="3" fontId="0" fillId="0" borderId="0" xfId="0" applyNumberFormat="1" applyFill="1" applyBorder="1" applyAlignment="1">
      <alignment/>
    </xf>
    <xf numFmtId="3" fontId="0" fillId="4" borderId="0" xfId="0" applyNumberFormat="1" applyFill="1" applyBorder="1" applyAlignment="1">
      <alignment/>
    </xf>
    <xf numFmtId="0" fontId="1" fillId="2" borderId="0" xfId="0" applyFont="1" applyFill="1" applyAlignment="1">
      <alignment/>
    </xf>
    <xf numFmtId="3" fontId="1" fillId="2" borderId="0" xfId="0" applyNumberFormat="1" applyFont="1" applyFill="1" applyAlignment="1">
      <alignment/>
    </xf>
    <xf numFmtId="181" fontId="1" fillId="2" borderId="0" xfId="0" applyNumberFormat="1" applyFont="1" applyFill="1" applyAlignment="1">
      <alignment/>
    </xf>
    <xf numFmtId="182" fontId="0" fillId="2" borderId="0" xfId="0" applyNumberFormat="1" applyFill="1" applyAlignment="1">
      <alignment/>
    </xf>
    <xf numFmtId="182" fontId="0" fillId="2" borderId="0" xfId="0" applyNumberFormat="1" applyFill="1" applyAlignment="1">
      <alignment horizontal="right"/>
    </xf>
    <xf numFmtId="1" fontId="0" fillId="2" borderId="0" xfId="0" applyNumberFormat="1" applyFill="1" applyAlignment="1">
      <alignment/>
    </xf>
    <xf numFmtId="2" fontId="0" fillId="2" borderId="0" xfId="0" applyNumberFormat="1" applyFill="1" applyAlignment="1">
      <alignment/>
    </xf>
    <xf numFmtId="187" fontId="0" fillId="2" borderId="0" xfId="0" applyNumberFormat="1" applyFill="1" applyAlignment="1">
      <alignment/>
    </xf>
    <xf numFmtId="1" fontId="0" fillId="2" borderId="0" xfId="0" applyNumberFormat="1" applyFill="1" applyAlignment="1">
      <alignment horizontal="center"/>
    </xf>
    <xf numFmtId="0" fontId="0" fillId="5" borderId="0" xfId="0" applyFill="1" applyAlignment="1">
      <alignment/>
    </xf>
    <xf numFmtId="0" fontId="1" fillId="5" borderId="0" xfId="0" applyFont="1" applyFill="1" applyAlignment="1">
      <alignment/>
    </xf>
    <xf numFmtId="1" fontId="0" fillId="5" borderId="0" xfId="0" applyNumberFormat="1" applyFill="1" applyAlignment="1">
      <alignment/>
    </xf>
    <xf numFmtId="0" fontId="0" fillId="6" borderId="0" xfId="0" applyFill="1" applyAlignment="1">
      <alignment/>
    </xf>
    <xf numFmtId="0" fontId="1" fillId="6" borderId="0" xfId="0" applyFont="1" applyFill="1" applyAlignment="1">
      <alignment/>
    </xf>
    <xf numFmtId="182" fontId="0" fillId="6" borderId="0" xfId="0" applyNumberFormat="1" applyFill="1" applyAlignment="1">
      <alignment/>
    </xf>
    <xf numFmtId="1" fontId="0" fillId="6" borderId="0" xfId="0" applyNumberFormat="1" applyFill="1" applyBorder="1" applyAlignment="1">
      <alignment/>
    </xf>
    <xf numFmtId="2" fontId="0" fillId="6" borderId="0" xfId="0" applyNumberFormat="1" applyFill="1" applyAlignment="1">
      <alignment/>
    </xf>
    <xf numFmtId="1" fontId="0" fillId="6" borderId="0" xfId="0" applyNumberFormat="1" applyFill="1" applyAlignment="1">
      <alignment/>
    </xf>
    <xf numFmtId="3" fontId="0" fillId="6" borderId="0" xfId="0" applyNumberFormat="1" applyFill="1" applyAlignment="1">
      <alignment/>
    </xf>
    <xf numFmtId="182" fontId="0" fillId="5" borderId="0" xfId="0" applyNumberFormat="1" applyFill="1" applyAlignment="1">
      <alignment/>
    </xf>
    <xf numFmtId="2" fontId="0" fillId="5" borderId="0" xfId="0" applyNumberFormat="1" applyFill="1" applyAlignment="1">
      <alignment/>
    </xf>
    <xf numFmtId="2" fontId="0" fillId="6" borderId="0" xfId="0" applyNumberFormat="1" applyFill="1" applyBorder="1" applyAlignment="1">
      <alignment/>
    </xf>
    <xf numFmtId="0" fontId="21" fillId="0" borderId="0" xfId="0" applyFont="1" applyAlignment="1">
      <alignment/>
    </xf>
    <xf numFmtId="0" fontId="0" fillId="0" borderId="0" xfId="0" applyFont="1" applyAlignment="1">
      <alignment/>
    </xf>
    <xf numFmtId="0" fontId="9" fillId="0" borderId="0" xfId="0" applyFont="1" applyAlignment="1">
      <alignment/>
    </xf>
    <xf numFmtId="0" fontId="1" fillId="7" borderId="0" xfId="0" applyFont="1" applyFill="1" applyAlignment="1">
      <alignment/>
    </xf>
    <xf numFmtId="0" fontId="0" fillId="7" borderId="0" xfId="0" applyFill="1" applyAlignment="1">
      <alignment/>
    </xf>
    <xf numFmtId="0" fontId="11" fillId="0" borderId="1" xfId="0" applyFont="1" applyFill="1" applyBorder="1" applyAlignment="1">
      <alignment/>
    </xf>
    <xf numFmtId="2" fontId="11" fillId="0" borderId="1" xfId="0" applyNumberFormat="1" applyFont="1" applyFill="1" applyBorder="1" applyAlignment="1">
      <alignment/>
    </xf>
    <xf numFmtId="1" fontId="11" fillId="0" borderId="1" xfId="0" applyNumberFormat="1" applyFont="1" applyFill="1" applyBorder="1" applyAlignment="1">
      <alignment/>
    </xf>
    <xf numFmtId="3" fontId="11" fillId="2" borderId="1" xfId="0" applyNumberFormat="1" applyFont="1" applyFill="1" applyBorder="1" applyAlignment="1">
      <alignment/>
    </xf>
    <xf numFmtId="181" fontId="11" fillId="2" borderId="1" xfId="0" applyNumberFormat="1" applyFont="1" applyFill="1" applyBorder="1" applyAlignment="1">
      <alignment/>
    </xf>
    <xf numFmtId="3" fontId="11" fillId="0" borderId="1" xfId="0" applyNumberFormat="1" applyFont="1" applyFill="1" applyBorder="1" applyAlignment="1">
      <alignment/>
    </xf>
    <xf numFmtId="0" fontId="11" fillId="2" borderId="1" xfId="0" applyFont="1" applyFill="1" applyBorder="1" applyAlignment="1">
      <alignment/>
    </xf>
    <xf numFmtId="0" fontId="1" fillId="0" borderId="2" xfId="0" applyFont="1" applyBorder="1" applyAlignment="1">
      <alignment/>
    </xf>
    <xf numFmtId="0" fontId="1" fillId="0" borderId="8" xfId="0" applyFont="1" applyBorder="1" applyAlignment="1">
      <alignment/>
    </xf>
    <xf numFmtId="0" fontId="1" fillId="0" borderId="6" xfId="0" applyFont="1" applyBorder="1" applyAlignment="1">
      <alignment/>
    </xf>
    <xf numFmtId="0" fontId="11" fillId="0" borderId="9" xfId="0" applyFont="1" applyBorder="1" applyAlignment="1">
      <alignment/>
    </xf>
    <xf numFmtId="0" fontId="11" fillId="0" borderId="5" xfId="0" applyFont="1" applyBorder="1" applyAlignment="1">
      <alignment/>
    </xf>
    <xf numFmtId="0" fontId="11" fillId="0" borderId="7" xfId="0" applyFont="1" applyBorder="1" applyAlignment="1">
      <alignment/>
    </xf>
    <xf numFmtId="0" fontId="11" fillId="0" borderId="2" xfId="0" applyFont="1" applyBorder="1" applyAlignment="1">
      <alignment/>
    </xf>
    <xf numFmtId="0" fontId="11" fillId="0" borderId="8" xfId="0" applyFont="1" applyBorder="1" applyAlignment="1">
      <alignment/>
    </xf>
    <xf numFmtId="3" fontId="11" fillId="0" borderId="8" xfId="0" applyNumberFormat="1" applyFont="1" applyBorder="1" applyAlignment="1">
      <alignment/>
    </xf>
    <xf numFmtId="0" fontId="11" fillId="0" borderId="6" xfId="0" applyFont="1" applyBorder="1" applyAlignment="1">
      <alignment/>
    </xf>
    <xf numFmtId="0" fontId="11" fillId="0" borderId="4" xfId="0" applyFont="1" applyFill="1" applyBorder="1" applyAlignment="1">
      <alignment/>
    </xf>
    <xf numFmtId="0" fontId="11" fillId="0" borderId="3" xfId="0" applyFont="1" applyFill="1" applyBorder="1" applyAlignment="1">
      <alignment/>
    </xf>
    <xf numFmtId="0" fontId="11" fillId="0" borderId="5" xfId="0" applyFont="1" applyFill="1" applyBorder="1" applyAlignment="1">
      <alignment/>
    </xf>
    <xf numFmtId="0" fontId="11" fillId="0" borderId="7" xfId="0" applyFont="1" applyFill="1" applyBorder="1" applyAlignment="1">
      <alignment/>
    </xf>
    <xf numFmtId="0" fontId="1" fillId="8" borderId="0" xfId="0" applyFont="1" applyFill="1" applyAlignment="1">
      <alignment/>
    </xf>
    <xf numFmtId="0" fontId="11" fillId="2" borderId="13" xfId="0" applyFont="1" applyFill="1" applyBorder="1" applyAlignment="1">
      <alignment horizontal="center" wrapText="1"/>
    </xf>
    <xf numFmtId="0" fontId="11" fillId="2" borderId="0" xfId="0" applyFont="1" applyFill="1" applyAlignment="1">
      <alignment horizontal="center" wrapText="1"/>
    </xf>
    <xf numFmtId="0" fontId="11" fillId="5" borderId="13" xfId="0" applyFont="1" applyFill="1" applyBorder="1" applyAlignment="1">
      <alignment horizontal="center" wrapText="1"/>
    </xf>
    <xf numFmtId="0" fontId="11" fillId="5" borderId="14" xfId="0" applyFont="1" applyFill="1" applyBorder="1" applyAlignment="1">
      <alignment horizontal="center" wrapText="1"/>
    </xf>
    <xf numFmtId="0" fontId="11" fillId="5" borderId="0" xfId="0" applyFont="1" applyFill="1" applyBorder="1" applyAlignment="1">
      <alignment horizontal="center" wrapText="1"/>
    </xf>
    <xf numFmtId="0" fontId="11" fillId="0" borderId="15" xfId="0" applyFont="1" applyBorder="1" applyAlignment="1">
      <alignment horizontal="center" wrapText="1"/>
    </xf>
    <xf numFmtId="0" fontId="11" fillId="0" borderId="10" xfId="0" applyFont="1" applyFill="1" applyBorder="1" applyAlignment="1">
      <alignment wrapText="1"/>
    </xf>
    <xf numFmtId="0" fontId="11" fillId="2" borderId="1" xfId="0" applyFont="1" applyFill="1" applyBorder="1" applyAlignment="1">
      <alignment horizontal="center" wrapText="1"/>
    </xf>
    <xf numFmtId="0" fontId="11" fillId="2" borderId="10" xfId="0" applyFont="1" applyFill="1" applyBorder="1" applyAlignment="1">
      <alignment horizontal="center" wrapText="1"/>
    </xf>
    <xf numFmtId="0" fontId="11" fillId="5" borderId="1" xfId="0" applyFont="1" applyFill="1" applyBorder="1" applyAlignment="1">
      <alignment horizontal="center"/>
    </xf>
    <xf numFmtId="0" fontId="11" fillId="5" borderId="10" xfId="0" applyFont="1" applyFill="1" applyBorder="1" applyAlignment="1">
      <alignment horizontal="center" wrapText="1"/>
    </xf>
    <xf numFmtId="0" fontId="11" fillId="5" borderId="15" xfId="0" applyFont="1" applyFill="1" applyBorder="1" applyAlignment="1">
      <alignment horizontal="center" wrapText="1"/>
    </xf>
    <xf numFmtId="0" fontId="11" fillId="5" borderId="1" xfId="0" applyFont="1" applyFill="1" applyBorder="1" applyAlignment="1">
      <alignment horizontal="center" wrapText="1"/>
    </xf>
    <xf numFmtId="0" fontId="20" fillId="0" borderId="0" xfId="0" applyFont="1" applyFill="1" applyAlignment="1">
      <alignment/>
    </xf>
    <xf numFmtId="0" fontId="11" fillId="0" borderId="15" xfId="0" applyFont="1" applyBorder="1" applyAlignment="1">
      <alignment wrapText="1"/>
    </xf>
    <xf numFmtId="0" fontId="22" fillId="0" borderId="0" xfId="0" applyFont="1" applyAlignment="1">
      <alignment/>
    </xf>
    <xf numFmtId="0" fontId="22" fillId="0" borderId="0" xfId="0" applyFont="1" applyFill="1" applyAlignment="1">
      <alignment/>
    </xf>
    <xf numFmtId="0" fontId="23" fillId="0" borderId="0" xfId="0" applyFont="1" applyAlignment="1">
      <alignment horizontal="right"/>
    </xf>
    <xf numFmtId="0" fontId="24" fillId="0" borderId="0" xfId="0" applyFont="1" applyAlignment="1">
      <alignment/>
    </xf>
    <xf numFmtId="0" fontId="0" fillId="9" borderId="0" xfId="0" applyFont="1" applyFill="1" applyAlignment="1">
      <alignment/>
    </xf>
    <xf numFmtId="0" fontId="0" fillId="9" borderId="0" xfId="0" applyFill="1" applyAlignment="1">
      <alignment/>
    </xf>
    <xf numFmtId="0" fontId="0" fillId="5" borderId="0" xfId="0" applyFont="1" applyFill="1" applyAlignment="1">
      <alignment/>
    </xf>
    <xf numFmtId="0" fontId="0" fillId="2" borderId="0" xfId="0" applyFont="1" applyFill="1" applyAlignment="1">
      <alignment/>
    </xf>
    <xf numFmtId="0" fontId="11" fillId="5" borderId="1" xfId="0" applyFont="1" applyFill="1" applyBorder="1" applyAlignment="1">
      <alignment/>
    </xf>
    <xf numFmtId="0" fontId="11" fillId="6" borderId="1" xfId="0" applyFont="1" applyFill="1" applyBorder="1" applyAlignment="1">
      <alignment/>
    </xf>
    <xf numFmtId="0" fontId="20" fillId="5" borderId="1" xfId="0" applyFont="1" applyFill="1" applyBorder="1" applyAlignment="1">
      <alignment/>
    </xf>
    <xf numFmtId="0" fontId="20" fillId="2" borderId="1" xfId="0" applyFont="1" applyFill="1" applyBorder="1" applyAlignment="1">
      <alignment/>
    </xf>
    <xf numFmtId="0" fontId="11" fillId="0" borderId="1" xfId="0" applyFont="1" applyBorder="1" applyAlignment="1">
      <alignment wrapText="1"/>
    </xf>
    <xf numFmtId="0" fontId="11" fillId="0" borderId="1" xfId="0" applyFont="1" applyBorder="1" applyAlignment="1">
      <alignment horizontal="center" wrapText="1"/>
    </xf>
    <xf numFmtId="2" fontId="11" fillId="6" borderId="1" xfId="0" applyNumberFormat="1" applyFont="1" applyFill="1" applyBorder="1" applyAlignment="1">
      <alignment/>
    </xf>
    <xf numFmtId="2" fontId="11" fillId="6" borderId="1" xfId="0" applyNumberFormat="1" applyFont="1" applyFill="1" applyBorder="1" applyAlignment="1">
      <alignment wrapText="1"/>
    </xf>
    <xf numFmtId="0" fontId="11" fillId="0" borderId="1" xfId="0" applyFont="1" applyBorder="1" applyAlignment="1">
      <alignment/>
    </xf>
    <xf numFmtId="0" fontId="11" fillId="10" borderId="1" xfId="0" applyFont="1" applyFill="1" applyBorder="1" applyAlignment="1">
      <alignment/>
    </xf>
    <xf numFmtId="0" fontId="20" fillId="7" borderId="1" xfId="0" applyFont="1" applyFill="1" applyBorder="1" applyAlignment="1">
      <alignment horizontal="left"/>
    </xf>
    <xf numFmtId="0" fontId="11" fillId="7" borderId="1" xfId="0" applyFont="1" applyFill="1" applyBorder="1" applyAlignment="1">
      <alignment wrapText="1"/>
    </xf>
    <xf numFmtId="0" fontId="11" fillId="7" borderId="1" xfId="0" applyFont="1" applyFill="1" applyBorder="1" applyAlignment="1">
      <alignment/>
    </xf>
    <xf numFmtId="0" fontId="11" fillId="7" borderId="16" xfId="0" applyFont="1" applyFill="1" applyBorder="1" applyAlignment="1">
      <alignment horizontal="center" wrapText="1"/>
    </xf>
    <xf numFmtId="0" fontId="11" fillId="7" borderId="13" xfId="0" applyFont="1" applyFill="1" applyBorder="1" applyAlignment="1">
      <alignment horizontal="center" wrapText="1"/>
    </xf>
    <xf numFmtId="0" fontId="11" fillId="7" borderId="0" xfId="0" applyFont="1" applyFill="1" applyBorder="1" applyAlignment="1">
      <alignment horizontal="center" wrapText="1"/>
    </xf>
    <xf numFmtId="0" fontId="11" fillId="7" borderId="15" xfId="0" applyFont="1" applyFill="1" applyBorder="1" applyAlignment="1">
      <alignment horizontal="center" wrapText="1"/>
    </xf>
    <xf numFmtId="0" fontId="11" fillId="7" borderId="1" xfId="0" applyFont="1" applyFill="1" applyBorder="1" applyAlignment="1">
      <alignment horizontal="center" wrapText="1"/>
    </xf>
    <xf numFmtId="0" fontId="11" fillId="7" borderId="10" xfId="0" applyFont="1" applyFill="1" applyBorder="1" applyAlignment="1">
      <alignment horizontal="center" wrapText="1"/>
    </xf>
    <xf numFmtId="0" fontId="11" fillId="11" borderId="13" xfId="0" applyFont="1" applyFill="1" applyBorder="1" applyAlignment="1">
      <alignment horizontal="center" wrapText="1"/>
    </xf>
    <xf numFmtId="0" fontId="11" fillId="11" borderId="1" xfId="0" applyFont="1" applyFill="1" applyBorder="1" applyAlignment="1">
      <alignment horizontal="center" wrapText="1"/>
    </xf>
    <xf numFmtId="0" fontId="11" fillId="11" borderId="1" xfId="0" applyFont="1" applyFill="1" applyBorder="1" applyAlignment="1">
      <alignment/>
    </xf>
    <xf numFmtId="2" fontId="11" fillId="11" borderId="1" xfId="0" applyNumberFormat="1" applyFont="1" applyFill="1" applyBorder="1" applyAlignment="1">
      <alignment/>
    </xf>
    <xf numFmtId="0" fontId="11" fillId="11" borderId="15" xfId="0" applyFont="1" applyFill="1" applyBorder="1" applyAlignment="1">
      <alignment horizontal="center" wrapText="1"/>
    </xf>
    <xf numFmtId="0" fontId="11" fillId="11" borderId="1" xfId="0" applyFont="1" applyFill="1" applyBorder="1" applyAlignment="1">
      <alignment horizontal="right"/>
    </xf>
    <xf numFmtId="1" fontId="11" fillId="6" borderId="1" xfId="0" applyNumberFormat="1" applyFont="1" applyFill="1" applyBorder="1" applyAlignment="1">
      <alignment/>
    </xf>
    <xf numFmtId="1" fontId="11" fillId="11" borderId="1" xfId="0" applyNumberFormat="1" applyFont="1" applyFill="1" applyBorder="1" applyAlignment="1">
      <alignment/>
    </xf>
    <xf numFmtId="0" fontId="11" fillId="11" borderId="0" xfId="0" applyFont="1" applyFill="1" applyBorder="1" applyAlignment="1">
      <alignment horizontal="center" wrapText="1"/>
    </xf>
    <xf numFmtId="0" fontId="11" fillId="11" borderId="10" xfId="0" applyFont="1" applyFill="1" applyBorder="1" applyAlignment="1">
      <alignment horizontal="center" wrapText="1"/>
    </xf>
    <xf numFmtId="182" fontId="11" fillId="6" borderId="1" xfId="0" applyNumberFormat="1" applyFont="1" applyFill="1" applyBorder="1" applyAlignment="1">
      <alignment/>
    </xf>
    <xf numFmtId="182" fontId="0" fillId="0" borderId="1" xfId="0" applyNumberFormat="1" applyFill="1" applyBorder="1" applyAlignment="1">
      <alignment/>
    </xf>
    <xf numFmtId="0" fontId="25" fillId="3" borderId="12" xfId="0" applyFont="1" applyFill="1" applyBorder="1" applyAlignment="1">
      <alignment horizontal="left"/>
    </xf>
    <xf numFmtId="0" fontId="25" fillId="3" borderId="11" xfId="0" applyFont="1" applyFill="1" applyBorder="1" applyAlignment="1">
      <alignment horizontal="left"/>
    </xf>
    <xf numFmtId="0" fontId="26" fillId="12" borderId="0" xfId="0" applyFont="1" applyFill="1" applyBorder="1" applyAlignment="1">
      <alignment horizontal="left"/>
    </xf>
    <xf numFmtId="0" fontId="27" fillId="12" borderId="10" xfId="0" applyFont="1" applyFill="1" applyBorder="1" applyAlignment="1">
      <alignment horizontal="left"/>
    </xf>
    <xf numFmtId="0" fontId="26" fillId="12" borderId="17" xfId="0" applyFont="1" applyFill="1" applyBorder="1" applyAlignment="1">
      <alignment horizontal="left"/>
    </xf>
    <xf numFmtId="0" fontId="11" fillId="0" borderId="0" xfId="0" applyFont="1" applyFill="1" applyBorder="1" applyAlignment="1">
      <alignment/>
    </xf>
    <xf numFmtId="2" fontId="0" fillId="0" borderId="17" xfId="0" applyNumberFormat="1" applyFill="1" applyBorder="1" applyAlignment="1">
      <alignment/>
    </xf>
    <xf numFmtId="1" fontId="11" fillId="0" borderId="0" xfId="0" applyNumberFormat="1" applyFont="1" applyFill="1" applyAlignment="1">
      <alignment/>
    </xf>
    <xf numFmtId="0" fontId="28" fillId="0" borderId="0" xfId="0" applyFont="1" applyFill="1" applyAlignment="1">
      <alignment/>
    </xf>
    <xf numFmtId="0" fontId="20" fillId="13" borderId="18" xfId="0" applyFont="1" applyFill="1" applyBorder="1" applyAlignment="1">
      <alignment/>
    </xf>
    <xf numFmtId="0" fontId="11" fillId="13" borderId="1" xfId="0" applyFont="1" applyFill="1" applyBorder="1" applyAlignment="1">
      <alignment wrapText="1"/>
    </xf>
    <xf numFmtId="0" fontId="11" fillId="13" borderId="1" xfId="0"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chartsheet" Target="chartsheets/sheet1.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 Monthly Rainfall </a:t>
            </a:r>
          </a:p>
        </c:rich>
      </c:tx>
      <c:layout/>
      <c:spPr>
        <a:noFill/>
        <a:ln>
          <a:noFill/>
        </a:ln>
      </c:spPr>
    </c:title>
    <c:plotArea>
      <c:layout>
        <c:manualLayout>
          <c:xMode val="edge"/>
          <c:yMode val="edge"/>
          <c:x val="0.03625"/>
          <c:y val="0.10825"/>
          <c:w val="0.8745"/>
          <c:h val="0.83225"/>
        </c:manualLayout>
      </c:layout>
      <c:barChart>
        <c:barDir val="col"/>
        <c:grouping val="stacked"/>
        <c:varyColors val="0"/>
        <c:ser>
          <c:idx val="2"/>
          <c:order val="0"/>
          <c:tx>
            <c:v>Pluie Effective </c:v>
          </c:tx>
          <c:spPr>
            <a:solidFill>
              <a:srgbClr val="FF0000"/>
            </a:solidFill>
            <a:ln w="12700">
              <a:solidFill>
                <a:srgbClr val="FF0000"/>
              </a:solidFill>
              <a:prstDash val="sysDot"/>
            </a:ln>
          </c:spPr>
          <c:invertIfNegative val="0"/>
          <c:extLst>
            <c:ext xmlns:c14="http://schemas.microsoft.com/office/drawing/2007/8/2/chart" uri="{6F2FDCE9-48DA-4B69-8628-5D25D57E5C99}">
              <c14:invertSolidFillFmt>
                <c14:spPr>
                  <a:solidFill>
                    <a:srgbClr val="FFFFFF"/>
                  </a:solidFill>
                </c14:spPr>
              </c14:invertSolidFillFmt>
            </c:ext>
          </c:extLst>
          <c:val>
            <c:numRef>
              <c:f>pluie!$E$3:$E$122</c:f>
              <c:numCache>
                <c:ptCount val="120"/>
                <c:pt idx="0">
                  <c:v>169.89179532780793</c:v>
                </c:pt>
                <c:pt idx="1">
                  <c:v>130.66083937017885</c:v>
                </c:pt>
                <c:pt idx="2">
                  <c:v>86.42302813512673</c:v>
                </c:pt>
                <c:pt idx="3">
                  <c:v>0</c:v>
                </c:pt>
                <c:pt idx="4">
                  <c:v>0</c:v>
                </c:pt>
                <c:pt idx="5">
                  <c:v>0</c:v>
                </c:pt>
                <c:pt idx="6">
                  <c:v>104.59447117692926</c:v>
                </c:pt>
                <c:pt idx="7">
                  <c:v>83.60163637838558</c:v>
                </c:pt>
                <c:pt idx="8">
                  <c:v>65.22570149190129</c:v>
                </c:pt>
                <c:pt idx="9">
                  <c:v>72.57173588945653</c:v>
                </c:pt>
                <c:pt idx="10">
                  <c:v>33.52325535561589</c:v>
                </c:pt>
                <c:pt idx="11">
                  <c:v>103.77798017661019</c:v>
                </c:pt>
                <c:pt idx="12">
                  <c:v>36.59179532780793</c:v>
                </c:pt>
                <c:pt idx="13">
                  <c:v>82.46083937017887</c:v>
                </c:pt>
                <c:pt idx="14">
                  <c:v>107.02302813512674</c:v>
                </c:pt>
                <c:pt idx="15">
                  <c:v>41.67697186487326</c:v>
                </c:pt>
                <c:pt idx="16">
                  <c:v>0</c:v>
                </c:pt>
                <c:pt idx="17">
                  <c:v>10.608204672192073</c:v>
                </c:pt>
                <c:pt idx="18">
                  <c:v>0.7944711769292496</c:v>
                </c:pt>
                <c:pt idx="19">
                  <c:v>0</c:v>
                </c:pt>
                <c:pt idx="20">
                  <c:v>0</c:v>
                </c:pt>
                <c:pt idx="21">
                  <c:v>91.27173588945652</c:v>
                </c:pt>
                <c:pt idx="22">
                  <c:v>39.52325535561589</c:v>
                </c:pt>
                <c:pt idx="23">
                  <c:v>84.37798017661018</c:v>
                </c:pt>
                <c:pt idx="24">
                  <c:v>205.79179532780793</c:v>
                </c:pt>
                <c:pt idx="25">
                  <c:v>141.16083937017885</c:v>
                </c:pt>
                <c:pt idx="26">
                  <c:v>35.02302813512674</c:v>
                </c:pt>
                <c:pt idx="27">
                  <c:v>0</c:v>
                </c:pt>
                <c:pt idx="28">
                  <c:v>0</c:v>
                </c:pt>
                <c:pt idx="29">
                  <c:v>0</c:v>
                </c:pt>
                <c:pt idx="30">
                  <c:v>0</c:v>
                </c:pt>
                <c:pt idx="31">
                  <c:v>37.60163637838559</c:v>
                </c:pt>
                <c:pt idx="32">
                  <c:v>12.22570149190129</c:v>
                </c:pt>
                <c:pt idx="33">
                  <c:v>105.97173588945654</c:v>
                </c:pt>
                <c:pt idx="34">
                  <c:v>62.92325535561589</c:v>
                </c:pt>
                <c:pt idx="35">
                  <c:v>237.5779801766102</c:v>
                </c:pt>
                <c:pt idx="36">
                  <c:v>83.39179532780794</c:v>
                </c:pt>
                <c:pt idx="37">
                  <c:v>94.96083937017887</c:v>
                </c:pt>
                <c:pt idx="38">
                  <c:v>41.62302813512673</c:v>
                </c:pt>
                <c:pt idx="39">
                  <c:v>7.976971864873256</c:v>
                </c:pt>
                <c:pt idx="40">
                  <c:v>0</c:v>
                </c:pt>
                <c:pt idx="41">
                  <c:v>58.508204672192065</c:v>
                </c:pt>
                <c:pt idx="42">
                  <c:v>0</c:v>
                </c:pt>
                <c:pt idx="43">
                  <c:v>0</c:v>
                </c:pt>
                <c:pt idx="44">
                  <c:v>1.0257014919012875</c:v>
                </c:pt>
                <c:pt idx="45">
                  <c:v>14.371735889456524</c:v>
                </c:pt>
                <c:pt idx="46">
                  <c:v>197.6232553556159</c:v>
                </c:pt>
                <c:pt idx="47">
                  <c:v>126.9779801766102</c:v>
                </c:pt>
                <c:pt idx="48">
                  <c:v>73.59179532780794</c:v>
                </c:pt>
                <c:pt idx="49">
                  <c:v>65.06083937017887</c:v>
                </c:pt>
                <c:pt idx="50">
                  <c:v>115.82302813512672</c:v>
                </c:pt>
                <c:pt idx="51">
                  <c:v>35.67697186487326</c:v>
                </c:pt>
                <c:pt idx="52">
                  <c:v>0</c:v>
                </c:pt>
                <c:pt idx="53">
                  <c:v>0</c:v>
                </c:pt>
                <c:pt idx="54">
                  <c:v>0</c:v>
                </c:pt>
                <c:pt idx="55">
                  <c:v>59.801636378385595</c:v>
                </c:pt>
                <c:pt idx="56">
                  <c:v>33.72570149190129</c:v>
                </c:pt>
                <c:pt idx="57">
                  <c:v>63.871735889456524</c:v>
                </c:pt>
                <c:pt idx="58">
                  <c:v>128.5232553556159</c:v>
                </c:pt>
                <c:pt idx="59">
                  <c:v>98.5779801766102</c:v>
                </c:pt>
                <c:pt idx="60">
                  <c:v>162.99179532780795</c:v>
                </c:pt>
                <c:pt idx="61">
                  <c:v>0</c:v>
                </c:pt>
                <c:pt idx="62">
                  <c:v>0</c:v>
                </c:pt>
                <c:pt idx="63">
                  <c:v>47.27697186487327</c:v>
                </c:pt>
                <c:pt idx="64">
                  <c:v>37.039160629821126</c:v>
                </c:pt>
                <c:pt idx="65">
                  <c:v>0</c:v>
                </c:pt>
                <c:pt idx="66">
                  <c:v>24.694471176929255</c:v>
                </c:pt>
                <c:pt idx="67">
                  <c:v>28.201636378385587</c:v>
                </c:pt>
                <c:pt idx="68">
                  <c:v>102.6257014919013</c:v>
                </c:pt>
                <c:pt idx="69">
                  <c:v>13.071735889456527</c:v>
                </c:pt>
                <c:pt idx="70">
                  <c:v>9.723255355615894</c:v>
                </c:pt>
                <c:pt idx="71">
                  <c:v>269.37798017661015</c:v>
                </c:pt>
                <c:pt idx="72">
                  <c:v>168.79179532780793</c:v>
                </c:pt>
                <c:pt idx="73">
                  <c:v>38.76083937017887</c:v>
                </c:pt>
                <c:pt idx="74">
                  <c:v>121.82302813512672</c:v>
                </c:pt>
                <c:pt idx="75">
                  <c:v>39.576971864873265</c:v>
                </c:pt>
                <c:pt idx="76">
                  <c:v>0</c:v>
                </c:pt>
                <c:pt idx="77">
                  <c:v>0</c:v>
                </c:pt>
                <c:pt idx="78">
                  <c:v>0</c:v>
                </c:pt>
                <c:pt idx="79">
                  <c:v>18.301636378385595</c:v>
                </c:pt>
                <c:pt idx="80">
                  <c:v>64.32570149190128</c:v>
                </c:pt>
                <c:pt idx="81">
                  <c:v>63.77173588945653</c:v>
                </c:pt>
                <c:pt idx="82">
                  <c:v>143.8232553556159</c:v>
                </c:pt>
                <c:pt idx="83">
                  <c:v>161.37798017661018</c:v>
                </c:pt>
                <c:pt idx="84">
                  <c:v>140.69179532780794</c:v>
                </c:pt>
                <c:pt idx="85">
                  <c:v>152.76083937017884</c:v>
                </c:pt>
                <c:pt idx="86">
                  <c:v>109.02302813512674</c:v>
                </c:pt>
                <c:pt idx="87">
                  <c:v>0</c:v>
                </c:pt>
                <c:pt idx="88">
                  <c:v>0</c:v>
                </c:pt>
                <c:pt idx="89">
                  <c:v>0</c:v>
                </c:pt>
                <c:pt idx="90">
                  <c:v>0</c:v>
                </c:pt>
                <c:pt idx="91">
                  <c:v>0</c:v>
                </c:pt>
                <c:pt idx="92">
                  <c:v>21.42570149190128</c:v>
                </c:pt>
                <c:pt idx="93">
                  <c:v>5.271735889456529</c:v>
                </c:pt>
                <c:pt idx="94">
                  <c:v>26.42325535561589</c:v>
                </c:pt>
                <c:pt idx="95">
                  <c:v>30.077980176610183</c:v>
                </c:pt>
                <c:pt idx="96">
                  <c:v>38.19179532780794</c:v>
                </c:pt>
                <c:pt idx="97">
                  <c:v>69.66083937017886</c:v>
                </c:pt>
                <c:pt idx="98">
                  <c:v>0</c:v>
                </c:pt>
                <c:pt idx="99">
                  <c:v>0</c:v>
                </c:pt>
                <c:pt idx="100">
                  <c:v>11.239160629821129</c:v>
                </c:pt>
                <c:pt idx="101">
                  <c:v>0</c:v>
                </c:pt>
                <c:pt idx="102">
                  <c:v>23.694471176929255</c:v>
                </c:pt>
                <c:pt idx="103">
                  <c:v>66.60163637838558</c:v>
                </c:pt>
                <c:pt idx="104">
                  <c:v>0</c:v>
                </c:pt>
                <c:pt idx="105">
                  <c:v>53.77173588945653</c:v>
                </c:pt>
                <c:pt idx="106">
                  <c:v>120.8232553556159</c:v>
                </c:pt>
                <c:pt idx="107">
                  <c:v>87.17798017661019</c:v>
                </c:pt>
                <c:pt idx="108">
                  <c:v>0</c:v>
                </c:pt>
                <c:pt idx="109">
                  <c:v>181.56083937017885</c:v>
                </c:pt>
                <c:pt idx="110">
                  <c:v>52.323028135126734</c:v>
                </c:pt>
                <c:pt idx="111">
                  <c:v>0</c:v>
                </c:pt>
                <c:pt idx="112">
                  <c:v>20.339160629821137</c:v>
                </c:pt>
                <c:pt idx="113">
                  <c:v>6.008204672192079</c:v>
                </c:pt>
                <c:pt idx="114">
                  <c:v>11.894471176929244</c:v>
                </c:pt>
                <c:pt idx="115">
                  <c:v>0</c:v>
                </c:pt>
                <c:pt idx="116">
                  <c:v>17.62570149190128</c:v>
                </c:pt>
                <c:pt idx="117">
                  <c:v>48.17173588945652</c:v>
                </c:pt>
                <c:pt idx="118">
                  <c:v>70.22325535561589</c:v>
                </c:pt>
                <c:pt idx="119">
                  <c:v>132.87798017661018</c:v>
                </c:pt>
              </c:numCache>
            </c:numRef>
          </c:val>
        </c:ser>
        <c:ser>
          <c:idx val="0"/>
          <c:order val="1"/>
          <c:tx>
            <c:v>Pluie Observée</c:v>
          </c:tx>
          <c:invertIfNegative val="0"/>
          <c:extLst>
            <c:ext xmlns:c14="http://schemas.microsoft.com/office/drawing/2007/8/2/chart" uri="{6F2FDCE9-48DA-4B69-8628-5D25D57E5C99}">
              <c14:invertSolidFillFmt>
                <c14:spPr>
                  <a:solidFill>
                    <a:srgbClr val="000000"/>
                  </a:solidFill>
                </c14:spPr>
              </c14:invertSolidFillFmt>
            </c:ext>
          </c:extLst>
          <c:val>
            <c:numRef>
              <c:f>pluie!$C$3:$C$122</c:f>
              <c:numCache>
                <c:ptCount val="120"/>
                <c:pt idx="0">
                  <c:v>187.7</c:v>
                </c:pt>
                <c:pt idx="1">
                  <c:v>157.1</c:v>
                </c:pt>
                <c:pt idx="2">
                  <c:v>127.8</c:v>
                </c:pt>
                <c:pt idx="3">
                  <c:v>21.7</c:v>
                </c:pt>
                <c:pt idx="4">
                  <c:v>67.7</c:v>
                </c:pt>
                <c:pt idx="5">
                  <c:v>23.4</c:v>
                </c:pt>
                <c:pt idx="6">
                  <c:v>186.8</c:v>
                </c:pt>
                <c:pt idx="7">
                  <c:v>157.2</c:v>
                </c:pt>
                <c:pt idx="8">
                  <c:v>123.9</c:v>
                </c:pt>
                <c:pt idx="9">
                  <c:v>114</c:v>
                </c:pt>
                <c:pt idx="10">
                  <c:v>60</c:v>
                </c:pt>
                <c:pt idx="11">
                  <c:v>121.6</c:v>
                </c:pt>
                <c:pt idx="12">
                  <c:v>54.4</c:v>
                </c:pt>
                <c:pt idx="13">
                  <c:v>108.9</c:v>
                </c:pt>
                <c:pt idx="14">
                  <c:v>148.4</c:v>
                </c:pt>
                <c:pt idx="15">
                  <c:v>100.3</c:v>
                </c:pt>
                <c:pt idx="16">
                  <c:v>22.7</c:v>
                </c:pt>
                <c:pt idx="17">
                  <c:v>92.8</c:v>
                </c:pt>
                <c:pt idx="18">
                  <c:v>83</c:v>
                </c:pt>
                <c:pt idx="19">
                  <c:v>65.6</c:v>
                </c:pt>
                <c:pt idx="20">
                  <c:v>26.5</c:v>
                </c:pt>
                <c:pt idx="21">
                  <c:v>132.7</c:v>
                </c:pt>
                <c:pt idx="22">
                  <c:v>66</c:v>
                </c:pt>
                <c:pt idx="23">
                  <c:v>102.2</c:v>
                </c:pt>
                <c:pt idx="24">
                  <c:v>223.6</c:v>
                </c:pt>
                <c:pt idx="25">
                  <c:v>167.6</c:v>
                </c:pt>
                <c:pt idx="26">
                  <c:v>76.4</c:v>
                </c:pt>
                <c:pt idx="27">
                  <c:v>56.1</c:v>
                </c:pt>
                <c:pt idx="28">
                  <c:v>33.1</c:v>
                </c:pt>
                <c:pt idx="29">
                  <c:v>78.1</c:v>
                </c:pt>
                <c:pt idx="30">
                  <c:v>50.5</c:v>
                </c:pt>
                <c:pt idx="31">
                  <c:v>111.2</c:v>
                </c:pt>
                <c:pt idx="32">
                  <c:v>70.9</c:v>
                </c:pt>
                <c:pt idx="33">
                  <c:v>147.4</c:v>
                </c:pt>
                <c:pt idx="34">
                  <c:v>89.4</c:v>
                </c:pt>
                <c:pt idx="35">
                  <c:v>255.4</c:v>
                </c:pt>
                <c:pt idx="36">
                  <c:v>101.2</c:v>
                </c:pt>
                <c:pt idx="37">
                  <c:v>121.4</c:v>
                </c:pt>
                <c:pt idx="38">
                  <c:v>83</c:v>
                </c:pt>
                <c:pt idx="39">
                  <c:v>66.6</c:v>
                </c:pt>
                <c:pt idx="40">
                  <c:v>15.4</c:v>
                </c:pt>
                <c:pt idx="41">
                  <c:v>140.7</c:v>
                </c:pt>
                <c:pt idx="42">
                  <c:v>54.3</c:v>
                </c:pt>
                <c:pt idx="43">
                  <c:v>48.9</c:v>
                </c:pt>
                <c:pt idx="44">
                  <c:v>59.7</c:v>
                </c:pt>
                <c:pt idx="45">
                  <c:v>55.8</c:v>
                </c:pt>
                <c:pt idx="46">
                  <c:v>224.1</c:v>
                </c:pt>
                <c:pt idx="47">
                  <c:v>144.8</c:v>
                </c:pt>
                <c:pt idx="48">
                  <c:v>91.4</c:v>
                </c:pt>
                <c:pt idx="49">
                  <c:v>91.5</c:v>
                </c:pt>
                <c:pt idx="50">
                  <c:v>157.2</c:v>
                </c:pt>
                <c:pt idx="51">
                  <c:v>94.3</c:v>
                </c:pt>
                <c:pt idx="52">
                  <c:v>72.2</c:v>
                </c:pt>
                <c:pt idx="53">
                  <c:v>12.5</c:v>
                </c:pt>
                <c:pt idx="54">
                  <c:v>81.2</c:v>
                </c:pt>
                <c:pt idx="55">
                  <c:v>133.4</c:v>
                </c:pt>
                <c:pt idx="56">
                  <c:v>92.4</c:v>
                </c:pt>
                <c:pt idx="57">
                  <c:v>105.3</c:v>
                </c:pt>
                <c:pt idx="58">
                  <c:v>155</c:v>
                </c:pt>
                <c:pt idx="59">
                  <c:v>116.4</c:v>
                </c:pt>
                <c:pt idx="60">
                  <c:v>180.8</c:v>
                </c:pt>
                <c:pt idx="61">
                  <c:v>18.7</c:v>
                </c:pt>
                <c:pt idx="62">
                  <c:v>20</c:v>
                </c:pt>
                <c:pt idx="63">
                  <c:v>105.9</c:v>
                </c:pt>
                <c:pt idx="64">
                  <c:v>110.6</c:v>
                </c:pt>
                <c:pt idx="65">
                  <c:v>53</c:v>
                </c:pt>
                <c:pt idx="66">
                  <c:v>106.9</c:v>
                </c:pt>
                <c:pt idx="67">
                  <c:v>101.8</c:v>
                </c:pt>
                <c:pt idx="68">
                  <c:v>161.3</c:v>
                </c:pt>
                <c:pt idx="69">
                  <c:v>54.5</c:v>
                </c:pt>
                <c:pt idx="70">
                  <c:v>36.2</c:v>
                </c:pt>
                <c:pt idx="71">
                  <c:v>287.2</c:v>
                </c:pt>
                <c:pt idx="72">
                  <c:v>186.6</c:v>
                </c:pt>
                <c:pt idx="73">
                  <c:v>65.2</c:v>
                </c:pt>
                <c:pt idx="74">
                  <c:v>163.2</c:v>
                </c:pt>
                <c:pt idx="75">
                  <c:v>98.2</c:v>
                </c:pt>
                <c:pt idx="76">
                  <c:v>31.3</c:v>
                </c:pt>
                <c:pt idx="77">
                  <c:v>60.9</c:v>
                </c:pt>
                <c:pt idx="78">
                  <c:v>78.1</c:v>
                </c:pt>
                <c:pt idx="79">
                  <c:v>91.9</c:v>
                </c:pt>
                <c:pt idx="80">
                  <c:v>123</c:v>
                </c:pt>
                <c:pt idx="81">
                  <c:v>105.2</c:v>
                </c:pt>
                <c:pt idx="82">
                  <c:v>170.3</c:v>
                </c:pt>
                <c:pt idx="83">
                  <c:v>179.2</c:v>
                </c:pt>
                <c:pt idx="84">
                  <c:v>158.5</c:v>
                </c:pt>
                <c:pt idx="85">
                  <c:v>179.2</c:v>
                </c:pt>
                <c:pt idx="86">
                  <c:v>150.4</c:v>
                </c:pt>
                <c:pt idx="87">
                  <c:v>34.9</c:v>
                </c:pt>
                <c:pt idx="88">
                  <c:v>39.5</c:v>
                </c:pt>
                <c:pt idx="89">
                  <c:v>21.7</c:v>
                </c:pt>
                <c:pt idx="90">
                  <c:v>53.7</c:v>
                </c:pt>
                <c:pt idx="91">
                  <c:v>9.4</c:v>
                </c:pt>
                <c:pt idx="92">
                  <c:v>80.1</c:v>
                </c:pt>
                <c:pt idx="93">
                  <c:v>46.7</c:v>
                </c:pt>
                <c:pt idx="94">
                  <c:v>52.9</c:v>
                </c:pt>
                <c:pt idx="95">
                  <c:v>47.9</c:v>
                </c:pt>
                <c:pt idx="96">
                  <c:v>56</c:v>
                </c:pt>
                <c:pt idx="97">
                  <c:v>96.1</c:v>
                </c:pt>
                <c:pt idx="98">
                  <c:v>34.5</c:v>
                </c:pt>
                <c:pt idx="99">
                  <c:v>53.4</c:v>
                </c:pt>
                <c:pt idx="100">
                  <c:v>84.8</c:v>
                </c:pt>
                <c:pt idx="101">
                  <c:v>38.4</c:v>
                </c:pt>
                <c:pt idx="102">
                  <c:v>105.9</c:v>
                </c:pt>
                <c:pt idx="103">
                  <c:v>140.2</c:v>
                </c:pt>
                <c:pt idx="104">
                  <c:v>43.9</c:v>
                </c:pt>
                <c:pt idx="105">
                  <c:v>95.2</c:v>
                </c:pt>
                <c:pt idx="106">
                  <c:v>147.3</c:v>
                </c:pt>
                <c:pt idx="107">
                  <c:v>105</c:v>
                </c:pt>
                <c:pt idx="108">
                  <c:v>10.1</c:v>
                </c:pt>
                <c:pt idx="109">
                  <c:v>208</c:v>
                </c:pt>
                <c:pt idx="110">
                  <c:v>93.7</c:v>
                </c:pt>
                <c:pt idx="111">
                  <c:v>44.8</c:v>
                </c:pt>
                <c:pt idx="112">
                  <c:v>93.9</c:v>
                </c:pt>
                <c:pt idx="113">
                  <c:v>88.2</c:v>
                </c:pt>
                <c:pt idx="114">
                  <c:v>94.1</c:v>
                </c:pt>
                <c:pt idx="115">
                  <c:v>47.6</c:v>
                </c:pt>
                <c:pt idx="116">
                  <c:v>76.3</c:v>
                </c:pt>
                <c:pt idx="117">
                  <c:v>89.6</c:v>
                </c:pt>
                <c:pt idx="118">
                  <c:v>96.7</c:v>
                </c:pt>
                <c:pt idx="119">
                  <c:v>150.7</c:v>
                </c:pt>
              </c:numCache>
            </c:numRef>
          </c:val>
        </c:ser>
        <c:overlap val="100"/>
        <c:gapWidth val="30"/>
        <c:axId val="21106036"/>
        <c:axId val="55736597"/>
      </c:barChart>
      <c:catAx>
        <c:axId val="21106036"/>
        <c:scaling>
          <c:orientation val="minMax"/>
        </c:scaling>
        <c:axPos val="b"/>
        <c:title>
          <c:tx>
            <c:rich>
              <a:bodyPr vert="horz" rot="0" anchor="ctr"/>
              <a:lstStyle/>
              <a:p>
                <a:pPr algn="ctr">
                  <a:defRPr/>
                </a:pPr>
                <a:r>
                  <a:rPr lang="en-US" cap="none" sz="1000" b="1" i="0" u="none" baseline="0">
                    <a:latin typeface="Arial"/>
                    <a:ea typeface="Arial"/>
                    <a:cs typeface="Arial"/>
                  </a:rPr>
                  <a:t>Date</a:t>
                </a:r>
              </a:p>
            </c:rich>
          </c:tx>
          <c:layout/>
          <c:overlay val="0"/>
          <c:spPr>
            <a:noFill/>
            <a:ln>
              <a:noFill/>
            </a:ln>
          </c:spPr>
        </c:title>
        <c:delete val="0"/>
        <c:numFmt formatCode="0" sourceLinked="0"/>
        <c:majorTickMark val="out"/>
        <c:minorTickMark val="none"/>
        <c:tickLblPos val="nextTo"/>
        <c:crossAx val="55736597"/>
        <c:crosses val="autoZero"/>
        <c:auto val="1"/>
        <c:lblOffset val="100"/>
        <c:tickLblSkip val="12"/>
        <c:tickMarkSkip val="12"/>
        <c:noMultiLvlLbl val="0"/>
      </c:catAx>
      <c:valAx>
        <c:axId val="55736597"/>
        <c:scaling>
          <c:orientation val="minMax"/>
        </c:scaling>
        <c:axPos val="l"/>
        <c:title>
          <c:tx>
            <c:rich>
              <a:bodyPr vert="horz" rot="-5400000" anchor="ctr"/>
              <a:lstStyle/>
              <a:p>
                <a:pPr algn="ctr">
                  <a:defRPr/>
                </a:pPr>
                <a:r>
                  <a:rPr lang="en-US" cap="none" sz="1000" b="1" i="0" u="none" baseline="0">
                    <a:latin typeface="Arial"/>
                    <a:ea typeface="Arial"/>
                    <a:cs typeface="Arial"/>
                  </a:rPr>
                  <a:t>Rainfall (mm)</a:t>
                </a:r>
              </a:p>
            </c:rich>
          </c:tx>
          <c:layout/>
          <c:overlay val="0"/>
          <c:spPr>
            <a:noFill/>
            <a:ln>
              <a:noFill/>
            </a:ln>
          </c:spPr>
        </c:title>
        <c:delete val="0"/>
        <c:numFmt formatCode="0" sourceLinked="0"/>
        <c:majorTickMark val="out"/>
        <c:minorTickMark val="none"/>
        <c:tickLblPos val="nextTo"/>
        <c:crossAx val="21106036"/>
        <c:crossesAt val="1"/>
        <c:crossBetween val="between"/>
        <c:dispUnits/>
      </c:valAx>
      <c:spPr>
        <a:noFill/>
        <a:ln w="12700">
          <a:solidFill>
            <a:srgbClr val="808080"/>
          </a:solidFill>
        </a:ln>
      </c:spPr>
    </c:plotArea>
    <c:legend>
      <c:legendPos val="r"/>
      <c:layout>
        <c:manualLayout>
          <c:xMode val="edge"/>
          <c:yMode val="edge"/>
          <c:x val="0.6245"/>
          <c:y val="0.16975"/>
          <c:w val="0.18175"/>
          <c:h val="0.220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Récréation vs seuil critique de remplissage</a:t>
            </a:r>
          </a:p>
        </c:rich>
      </c:tx>
      <c:layout>
        <c:manualLayout>
          <c:xMode val="factor"/>
          <c:yMode val="factor"/>
          <c:x val="-0.101"/>
          <c:y val="-0.0135"/>
        </c:manualLayout>
      </c:layout>
      <c:spPr>
        <a:noFill/>
        <a:ln>
          <a:noFill/>
        </a:ln>
      </c:spPr>
    </c:title>
    <c:plotArea>
      <c:layout>
        <c:manualLayout>
          <c:xMode val="edge"/>
          <c:yMode val="edge"/>
          <c:x val="0.06"/>
          <c:y val="0.11775"/>
          <c:w val="0.932"/>
          <c:h val="0.78325"/>
        </c:manualLayout>
      </c:layout>
      <c:scatterChart>
        <c:scatterStyle val="lineMarker"/>
        <c:varyColors val="0"/>
        <c:ser>
          <c:idx val="0"/>
          <c:order val="0"/>
          <c:tx>
            <c:strRef>
              <c:f>res_récréation!$A$20</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res_récréation!$B$19:$H$19</c:f>
              <c:numCache>
                <c:ptCount val="7"/>
                <c:pt idx="0">
                  <c:v>0</c:v>
                </c:pt>
                <c:pt idx="1">
                  <c:v>0.2</c:v>
                </c:pt>
                <c:pt idx="2">
                  <c:v>0.4</c:v>
                </c:pt>
                <c:pt idx="3">
                  <c:v>0.5</c:v>
                </c:pt>
                <c:pt idx="4">
                  <c:v>0.6</c:v>
                </c:pt>
                <c:pt idx="5">
                  <c:v>0.8</c:v>
                </c:pt>
                <c:pt idx="6">
                  <c:v>0.9</c:v>
                </c:pt>
              </c:numCache>
            </c:numRef>
          </c:xVal>
          <c:yVal>
            <c:numRef>
              <c:f>res_récréation!$B$20:$H$20</c:f>
              <c:numCache>
                <c:ptCount val="7"/>
                <c:pt idx="0">
                  <c:v>69.1666666666667</c:v>
                </c:pt>
                <c:pt idx="1">
                  <c:v>69.1666666666667</c:v>
                </c:pt>
                <c:pt idx="2">
                  <c:v>71.6666666666667</c:v>
                </c:pt>
                <c:pt idx="3">
                  <c:v>71.6666666666667</c:v>
                </c:pt>
                <c:pt idx="4">
                  <c:v>75</c:v>
                </c:pt>
                <c:pt idx="5">
                  <c:v>87.5</c:v>
                </c:pt>
                <c:pt idx="6">
                  <c:v>87.5</c:v>
                </c:pt>
              </c:numCache>
            </c:numRef>
          </c:yVal>
          <c:smooth val="0"/>
        </c:ser>
        <c:ser>
          <c:idx val="1"/>
          <c:order val="1"/>
          <c:tx>
            <c:strRef>
              <c:f>res_récréation!$A$21</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res_récréation!$B$19:$H$19</c:f>
              <c:numCache>
                <c:ptCount val="7"/>
                <c:pt idx="0">
                  <c:v>0</c:v>
                </c:pt>
                <c:pt idx="1">
                  <c:v>0.2</c:v>
                </c:pt>
                <c:pt idx="2">
                  <c:v>0.4</c:v>
                </c:pt>
                <c:pt idx="3">
                  <c:v>0.5</c:v>
                </c:pt>
                <c:pt idx="4">
                  <c:v>0.6</c:v>
                </c:pt>
                <c:pt idx="5">
                  <c:v>0.8</c:v>
                </c:pt>
                <c:pt idx="6">
                  <c:v>0.9</c:v>
                </c:pt>
              </c:numCache>
            </c:numRef>
          </c:xVal>
          <c:yVal>
            <c:numRef>
              <c:f>res_récréation!$B$21:$H$21</c:f>
              <c:numCache>
                <c:ptCount val="7"/>
                <c:pt idx="0">
                  <c:v>29.7297297297297</c:v>
                </c:pt>
                <c:pt idx="1">
                  <c:v>29.7297297297297</c:v>
                </c:pt>
                <c:pt idx="2">
                  <c:v>29.4117647058824</c:v>
                </c:pt>
                <c:pt idx="3">
                  <c:v>29.4117647058824</c:v>
                </c:pt>
                <c:pt idx="4">
                  <c:v>33.3333333333333</c:v>
                </c:pt>
                <c:pt idx="5">
                  <c:v>53.3333333333333</c:v>
                </c:pt>
                <c:pt idx="6">
                  <c:v>53.3333333333333</c:v>
                </c:pt>
              </c:numCache>
            </c:numRef>
          </c:yVal>
          <c:smooth val="0"/>
        </c:ser>
        <c:ser>
          <c:idx val="2"/>
          <c:order val="2"/>
          <c:tx>
            <c:strRef>
              <c:f>res_récréation!$A$23</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res_récréation!$B$19:$H$19</c:f>
              <c:numCache>
                <c:ptCount val="7"/>
                <c:pt idx="0">
                  <c:v>0</c:v>
                </c:pt>
                <c:pt idx="1">
                  <c:v>0.2</c:v>
                </c:pt>
                <c:pt idx="2">
                  <c:v>0.4</c:v>
                </c:pt>
                <c:pt idx="3">
                  <c:v>0.5</c:v>
                </c:pt>
                <c:pt idx="4">
                  <c:v>0.6</c:v>
                </c:pt>
                <c:pt idx="5">
                  <c:v>0.8</c:v>
                </c:pt>
                <c:pt idx="6">
                  <c:v>0.9</c:v>
                </c:pt>
              </c:numCache>
            </c:numRef>
          </c:xVal>
          <c:yVal>
            <c:numRef>
              <c:f>res_récréation!$B$23:$H$23</c:f>
              <c:numCache>
                <c:ptCount val="7"/>
                <c:pt idx="0">
                  <c:v>99.99866666666671</c:v>
                </c:pt>
                <c:pt idx="1">
                  <c:v>99.99866666666671</c:v>
                </c:pt>
                <c:pt idx="2">
                  <c:v>60.5675241589511</c:v>
                </c:pt>
                <c:pt idx="3">
                  <c:v>60.5594681126692</c:v>
                </c:pt>
                <c:pt idx="4">
                  <c:v>40.1443575865008</c:v>
                </c:pt>
                <c:pt idx="5">
                  <c:v>25.0926498191859</c:v>
                </c:pt>
                <c:pt idx="6">
                  <c:v>25.0926498191859</c:v>
                </c:pt>
              </c:numCache>
            </c:numRef>
          </c:yVal>
          <c:smooth val="0"/>
        </c:ser>
        <c:axId val="24833166"/>
        <c:axId val="22171903"/>
      </c:scatterChart>
      <c:valAx>
        <c:axId val="24833166"/>
        <c:scaling>
          <c:orientation val="minMax"/>
        </c:scaling>
        <c:axPos val="b"/>
        <c:title>
          <c:tx>
            <c:rich>
              <a:bodyPr vert="horz" rot="0" anchor="ctr"/>
              <a:lstStyle/>
              <a:p>
                <a:pPr algn="ctr">
                  <a:defRPr/>
                </a:pPr>
                <a:r>
                  <a:rPr lang="en-US" cap="none" sz="1000" b="1" i="0" u="none" baseline="0">
                    <a:latin typeface="Arial"/>
                    <a:ea typeface="Arial"/>
                    <a:cs typeface="Arial"/>
                  </a:rPr>
                  <a:t>Seuil critique de remplissage</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2171903"/>
        <c:crosses val="autoZero"/>
        <c:crossBetween val="midCat"/>
        <c:dispUnits/>
      </c:valAx>
      <c:valAx>
        <c:axId val="22171903"/>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4833166"/>
        <c:crosses val="autoZero"/>
        <c:crossBetween val="midCat"/>
        <c:dispUnits/>
      </c:valAx>
      <c:spPr>
        <a:noFill/>
        <a:ln w="12700">
          <a:solidFill>
            <a:srgbClr val="808080"/>
          </a:solidFill>
        </a:ln>
      </c:spPr>
    </c:plotArea>
    <c:legend>
      <c:legendPos val="r"/>
      <c:layout>
        <c:manualLayout>
          <c:xMode val="edge"/>
          <c:yMode val="edge"/>
          <c:x val="0.78975"/>
          <c:y val="0.00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Alimentation vs seuil critique de remplissage</a:t>
            </a:r>
          </a:p>
        </c:rich>
      </c:tx>
      <c:layout>
        <c:manualLayout>
          <c:xMode val="factor"/>
          <c:yMode val="factor"/>
          <c:x val="-0.133"/>
          <c:y val="-0.009"/>
        </c:manualLayout>
      </c:layout>
      <c:spPr>
        <a:noFill/>
        <a:ln>
          <a:noFill/>
        </a:ln>
      </c:spPr>
    </c:title>
    <c:plotArea>
      <c:layout>
        <c:manualLayout>
          <c:xMode val="edge"/>
          <c:yMode val="edge"/>
          <c:x val="0.0605"/>
          <c:y val="0.107"/>
          <c:w val="0.9315"/>
          <c:h val="0.79375"/>
        </c:manualLayout>
      </c:layout>
      <c:scatterChart>
        <c:scatterStyle val="lineMarker"/>
        <c:varyColors val="0"/>
        <c:ser>
          <c:idx val="0"/>
          <c:order val="0"/>
          <c:tx>
            <c:strRef>
              <c:f>res_alimentation!$A$20</c:f>
              <c:strCache>
                <c:ptCount val="1"/>
                <c:pt idx="0">
                  <c:v>Reliability</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res_alimentation!$B$19:$H$19</c:f>
              <c:numCache>
                <c:ptCount val="7"/>
                <c:pt idx="0">
                  <c:v>0</c:v>
                </c:pt>
                <c:pt idx="1">
                  <c:v>0.2</c:v>
                </c:pt>
                <c:pt idx="2">
                  <c:v>0.4</c:v>
                </c:pt>
                <c:pt idx="3">
                  <c:v>0.5</c:v>
                </c:pt>
                <c:pt idx="4">
                  <c:v>0.6</c:v>
                </c:pt>
                <c:pt idx="5">
                  <c:v>0.8</c:v>
                </c:pt>
                <c:pt idx="6">
                  <c:v>0.9</c:v>
                </c:pt>
              </c:numCache>
            </c:numRef>
          </c:xVal>
          <c:yVal>
            <c:numRef>
              <c:f>res_alimentation!$B$20:$H$20</c:f>
              <c:numCache>
                <c:ptCount val="7"/>
                <c:pt idx="0">
                  <c:v>95</c:v>
                </c:pt>
                <c:pt idx="1">
                  <c:v>94.1666666666667</c:v>
                </c:pt>
                <c:pt idx="2">
                  <c:v>82.5</c:v>
                </c:pt>
                <c:pt idx="3">
                  <c:v>78.3333333333333</c:v>
                </c:pt>
                <c:pt idx="4">
                  <c:v>70.8333333333333</c:v>
                </c:pt>
                <c:pt idx="5">
                  <c:v>56.6666666666667</c:v>
                </c:pt>
                <c:pt idx="6">
                  <c:v>55</c:v>
                </c:pt>
              </c:numCache>
            </c:numRef>
          </c:yVal>
          <c:smooth val="0"/>
        </c:ser>
        <c:ser>
          <c:idx val="1"/>
          <c:order val="1"/>
          <c:tx>
            <c:strRef>
              <c:f>res_alimentation!$A$21</c:f>
              <c:strCache>
                <c:ptCount val="1"/>
                <c:pt idx="0">
                  <c:v>Resilience</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res_alimentation!$B$19:$H$19</c:f>
              <c:numCache>
                <c:ptCount val="7"/>
                <c:pt idx="0">
                  <c:v>0</c:v>
                </c:pt>
                <c:pt idx="1">
                  <c:v>0.2</c:v>
                </c:pt>
                <c:pt idx="2">
                  <c:v>0.4</c:v>
                </c:pt>
                <c:pt idx="3">
                  <c:v>0.5</c:v>
                </c:pt>
                <c:pt idx="4">
                  <c:v>0.6</c:v>
                </c:pt>
                <c:pt idx="5">
                  <c:v>0.8</c:v>
                </c:pt>
                <c:pt idx="6">
                  <c:v>0.9</c:v>
                </c:pt>
              </c:numCache>
            </c:numRef>
          </c:xVal>
          <c:yVal>
            <c:numRef>
              <c:f>res_alimentation!$B$21:$H$21</c:f>
              <c:numCache>
                <c:ptCount val="7"/>
                <c:pt idx="0">
                  <c:v>83.3333333333333</c:v>
                </c:pt>
                <c:pt idx="1">
                  <c:v>85.7142857142857</c:v>
                </c:pt>
                <c:pt idx="2">
                  <c:v>47.6190476190476</c:v>
                </c:pt>
                <c:pt idx="3">
                  <c:v>34.6153846153846</c:v>
                </c:pt>
                <c:pt idx="4">
                  <c:v>28.5714285714286</c:v>
                </c:pt>
                <c:pt idx="5">
                  <c:v>32.6923076923077</c:v>
                </c:pt>
                <c:pt idx="6">
                  <c:v>29.6296296296296</c:v>
                </c:pt>
              </c:numCache>
            </c:numRef>
          </c:yVal>
          <c:smooth val="0"/>
        </c:ser>
        <c:ser>
          <c:idx val="2"/>
          <c:order val="2"/>
          <c:tx>
            <c:strRef>
              <c:f>res_alimentation!$A$23</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res_alimentation!$B$19:$H$19</c:f>
              <c:numCache>
                <c:ptCount val="7"/>
                <c:pt idx="0">
                  <c:v>0</c:v>
                </c:pt>
                <c:pt idx="1">
                  <c:v>0.2</c:v>
                </c:pt>
                <c:pt idx="2">
                  <c:v>0.4</c:v>
                </c:pt>
                <c:pt idx="3">
                  <c:v>0.5</c:v>
                </c:pt>
                <c:pt idx="4">
                  <c:v>0.6</c:v>
                </c:pt>
                <c:pt idx="5">
                  <c:v>0.8</c:v>
                </c:pt>
                <c:pt idx="6">
                  <c:v>0.9</c:v>
                </c:pt>
              </c:numCache>
            </c:numRef>
          </c:xVal>
          <c:yVal>
            <c:numRef>
              <c:f>res_alimentation!$B$23:$H$23</c:f>
              <c:numCache>
                <c:ptCount val="7"/>
                <c:pt idx="0">
                  <c:v>100</c:v>
                </c:pt>
                <c:pt idx="1">
                  <c:v>100</c:v>
                </c:pt>
                <c:pt idx="2">
                  <c:v>61.6595031271394</c:v>
                </c:pt>
                <c:pt idx="3">
                  <c:v>61.6438356164384</c:v>
                </c:pt>
                <c:pt idx="4">
                  <c:v>50</c:v>
                </c:pt>
                <c:pt idx="5">
                  <c:v>50</c:v>
                </c:pt>
                <c:pt idx="6">
                  <c:v>50</c:v>
                </c:pt>
              </c:numCache>
            </c:numRef>
          </c:yVal>
          <c:smooth val="0"/>
        </c:ser>
        <c:ser>
          <c:idx val="3"/>
          <c:order val="3"/>
          <c:tx>
            <c:strRef>
              <c:f>res_alimentation!$A$25</c:f>
              <c:strCache>
                <c:ptCount val="1"/>
                <c:pt idx="0">
                  <c:v>satisfaction de la demande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res_alimentation!$B$19:$H$19</c:f>
              <c:numCache>
                <c:ptCount val="7"/>
                <c:pt idx="0">
                  <c:v>0</c:v>
                </c:pt>
                <c:pt idx="1">
                  <c:v>0.2</c:v>
                </c:pt>
                <c:pt idx="2">
                  <c:v>0.4</c:v>
                </c:pt>
                <c:pt idx="3">
                  <c:v>0.5</c:v>
                </c:pt>
                <c:pt idx="4">
                  <c:v>0.6</c:v>
                </c:pt>
                <c:pt idx="5">
                  <c:v>0.8</c:v>
                </c:pt>
                <c:pt idx="6">
                  <c:v>0.9</c:v>
                </c:pt>
              </c:numCache>
            </c:numRef>
          </c:xVal>
          <c:yVal>
            <c:numRef>
              <c:f>res_alimentation!$B$25:$H$25</c:f>
              <c:numCache>
                <c:ptCount val="7"/>
                <c:pt idx="0">
                  <c:v>88.236301369863</c:v>
                </c:pt>
                <c:pt idx="1">
                  <c:v>99.1666666666667</c:v>
                </c:pt>
                <c:pt idx="2">
                  <c:v>96.6666666666667</c:v>
                </c:pt>
                <c:pt idx="3">
                  <c:v>88.236301369863</c:v>
                </c:pt>
                <c:pt idx="4">
                  <c:v>81.7461021136686</c:v>
                </c:pt>
                <c:pt idx="5">
                  <c:v>81.7461021136686</c:v>
                </c:pt>
                <c:pt idx="6">
                  <c:v>68.6666053748502</c:v>
                </c:pt>
              </c:numCache>
            </c:numRef>
          </c:yVal>
          <c:smooth val="0"/>
        </c:ser>
        <c:axId val="65329400"/>
        <c:axId val="51093689"/>
      </c:scatterChart>
      <c:valAx>
        <c:axId val="65329400"/>
        <c:scaling>
          <c:orientation val="minMax"/>
        </c:scaling>
        <c:axPos val="b"/>
        <c:title>
          <c:tx>
            <c:rich>
              <a:bodyPr vert="horz" rot="0" anchor="ctr"/>
              <a:lstStyle/>
              <a:p>
                <a:pPr algn="ctr">
                  <a:defRPr/>
                </a:pPr>
                <a:r>
                  <a:rPr lang="en-US" cap="none" sz="1000" b="1" i="0" u="none" baseline="0">
                    <a:latin typeface="Arial"/>
                    <a:ea typeface="Arial"/>
                    <a:cs typeface="Arial"/>
                  </a:rPr>
                  <a:t>Seuil critique</a:t>
                </a:r>
              </a:p>
            </c:rich>
          </c:tx>
          <c:layout/>
          <c:overlay val="0"/>
          <c:spPr>
            <a:noFill/>
            <a:ln>
              <a:noFill/>
            </a:ln>
          </c:spPr>
        </c:title>
        <c:majorGridlines/>
        <c:minorGridlines/>
        <c:delete val="0"/>
        <c:numFmt formatCode="0.00" sourceLinked="0"/>
        <c:majorTickMark val="out"/>
        <c:minorTickMark val="none"/>
        <c:tickLblPos val="nextTo"/>
        <c:txPr>
          <a:bodyPr/>
          <a:lstStyle/>
          <a:p>
            <a:pPr>
              <a:defRPr lang="en-US" cap="none" sz="1000" b="0" i="0" u="none" baseline="0">
                <a:latin typeface="Arial"/>
                <a:ea typeface="Arial"/>
                <a:cs typeface="Arial"/>
              </a:defRPr>
            </a:pPr>
          </a:p>
        </c:txPr>
        <c:crossAx val="51093689"/>
        <c:crosses val="autoZero"/>
        <c:crossBetween val="midCat"/>
        <c:dispUnits/>
      </c:valAx>
      <c:valAx>
        <c:axId val="51093689"/>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Performance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65329400"/>
        <c:crosses val="autoZero"/>
        <c:crossBetween val="midCat"/>
        <c:dispUnits/>
      </c:valAx>
      <c:spPr>
        <a:noFill/>
        <a:ln w="12700">
          <a:solidFill>
            <a:srgbClr val="808080"/>
          </a:solidFill>
        </a:ln>
      </c:spPr>
    </c:plotArea>
    <c:legend>
      <c:legendPos val="r"/>
      <c:layout>
        <c:manualLayout>
          <c:xMode val="edge"/>
          <c:yMode val="edge"/>
          <c:x val="0.663"/>
          <c:y val="0"/>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Pêche vs seuil de remplissage critique</a:t>
            </a:r>
          </a:p>
        </c:rich>
      </c:tx>
      <c:layout/>
      <c:spPr>
        <a:noFill/>
        <a:ln>
          <a:noFill/>
        </a:ln>
      </c:spPr>
    </c:title>
    <c:plotArea>
      <c:layout>
        <c:manualLayout>
          <c:xMode val="edge"/>
          <c:yMode val="edge"/>
          <c:x val="0.06875"/>
          <c:y val="0.118"/>
          <c:w val="0.92325"/>
          <c:h val="0.7695"/>
        </c:manualLayout>
      </c:layout>
      <c:scatterChart>
        <c:scatterStyle val="lineMarker"/>
        <c:varyColors val="0"/>
        <c:ser>
          <c:idx val="0"/>
          <c:order val="0"/>
          <c:tx>
            <c:strRef>
              <c:f>res_pêche!$A$7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res_pêche!$B$20:$H$20</c:f>
              <c:numCache>
                <c:ptCount val="7"/>
                <c:pt idx="0">
                  <c:v>0</c:v>
                </c:pt>
                <c:pt idx="1">
                  <c:v>0.2</c:v>
                </c:pt>
                <c:pt idx="2">
                  <c:v>0.4</c:v>
                </c:pt>
                <c:pt idx="3">
                  <c:v>0.5</c:v>
                </c:pt>
                <c:pt idx="4">
                  <c:v>0.6</c:v>
                </c:pt>
                <c:pt idx="5">
                  <c:v>0.8</c:v>
                </c:pt>
                <c:pt idx="6">
                  <c:v>0.9</c:v>
                </c:pt>
              </c:numCache>
            </c:numRef>
          </c:xVal>
          <c:yVal>
            <c:numRef>
              <c:f>res_pêche!$B$21:$H$21</c:f>
              <c:numCache>
                <c:ptCount val="7"/>
                <c:pt idx="0">
                  <c:v>69.1666666666667</c:v>
                </c:pt>
                <c:pt idx="1">
                  <c:v>69.1666666666667</c:v>
                </c:pt>
                <c:pt idx="2">
                  <c:v>71.6666666666667</c:v>
                </c:pt>
                <c:pt idx="3">
                  <c:v>71.6666666666667</c:v>
                </c:pt>
                <c:pt idx="4">
                  <c:v>75</c:v>
                </c:pt>
                <c:pt idx="5">
                  <c:v>87.5</c:v>
                </c:pt>
                <c:pt idx="6">
                  <c:v>87.5</c:v>
                </c:pt>
              </c:numCache>
            </c:numRef>
          </c:yVal>
          <c:smooth val="0"/>
        </c:ser>
        <c:ser>
          <c:idx val="1"/>
          <c:order val="1"/>
          <c:tx>
            <c:strRef>
              <c:f>res_pêche!$A$8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res_pêche!$B$20:$H$20</c:f>
              <c:numCache>
                <c:ptCount val="7"/>
                <c:pt idx="0">
                  <c:v>0</c:v>
                </c:pt>
                <c:pt idx="1">
                  <c:v>0.2</c:v>
                </c:pt>
                <c:pt idx="2">
                  <c:v>0.4</c:v>
                </c:pt>
                <c:pt idx="3">
                  <c:v>0.5</c:v>
                </c:pt>
                <c:pt idx="4">
                  <c:v>0.6</c:v>
                </c:pt>
                <c:pt idx="5">
                  <c:v>0.8</c:v>
                </c:pt>
                <c:pt idx="6">
                  <c:v>0.9</c:v>
                </c:pt>
              </c:numCache>
            </c:numRef>
          </c:xVal>
          <c:yVal>
            <c:numRef>
              <c:f>res_pêche!$B$22:$H$22</c:f>
              <c:numCache>
                <c:ptCount val="7"/>
                <c:pt idx="0">
                  <c:v>29.7297297297297</c:v>
                </c:pt>
                <c:pt idx="1">
                  <c:v>29.7297297297297</c:v>
                </c:pt>
                <c:pt idx="2">
                  <c:v>29.4117647058824</c:v>
                </c:pt>
                <c:pt idx="3">
                  <c:v>29.4117647058824</c:v>
                </c:pt>
                <c:pt idx="4">
                  <c:v>33.3333333333333</c:v>
                </c:pt>
                <c:pt idx="5">
                  <c:v>53.3333333333333</c:v>
                </c:pt>
                <c:pt idx="6">
                  <c:v>53.3333333333333</c:v>
                </c:pt>
              </c:numCache>
            </c:numRef>
          </c:yVal>
          <c:smooth val="0"/>
        </c:ser>
        <c:ser>
          <c:idx val="2"/>
          <c:order val="2"/>
          <c:tx>
            <c:strRef>
              <c:f>res_pêche!$A$10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res_pêche!$B$20:$H$20</c:f>
              <c:numCache>
                <c:ptCount val="7"/>
                <c:pt idx="0">
                  <c:v>0</c:v>
                </c:pt>
                <c:pt idx="1">
                  <c:v>0.2</c:v>
                </c:pt>
                <c:pt idx="2">
                  <c:v>0.4</c:v>
                </c:pt>
                <c:pt idx="3">
                  <c:v>0.5</c:v>
                </c:pt>
                <c:pt idx="4">
                  <c:v>0.6</c:v>
                </c:pt>
                <c:pt idx="5">
                  <c:v>0.8</c:v>
                </c:pt>
                <c:pt idx="6">
                  <c:v>0.9</c:v>
                </c:pt>
              </c:numCache>
            </c:numRef>
          </c:xVal>
          <c:yVal>
            <c:numRef>
              <c:f>res_pêche!$B$24:$H$24</c:f>
              <c:numCache>
                <c:ptCount val="7"/>
                <c:pt idx="0">
                  <c:v>100</c:v>
                </c:pt>
                <c:pt idx="1">
                  <c:v>100</c:v>
                </c:pt>
                <c:pt idx="2">
                  <c:v>60.5675241589511</c:v>
                </c:pt>
                <c:pt idx="3">
                  <c:v>60.5594681126692</c:v>
                </c:pt>
                <c:pt idx="4">
                  <c:v>40.1443575865009</c:v>
                </c:pt>
                <c:pt idx="5">
                  <c:v>25.0926498191859</c:v>
                </c:pt>
                <c:pt idx="6">
                  <c:v>25.0926498191859</c:v>
                </c:pt>
              </c:numCache>
            </c:numRef>
          </c:yVal>
          <c:smooth val="0"/>
        </c:ser>
        <c:axId val="57190018"/>
        <c:axId val="44948115"/>
      </c:scatterChart>
      <c:valAx>
        <c:axId val="57190018"/>
        <c:scaling>
          <c:orientation val="minMax"/>
        </c:scaling>
        <c:axPos val="b"/>
        <c:title>
          <c:tx>
            <c:rich>
              <a:bodyPr vert="horz" rot="0" anchor="ctr"/>
              <a:lstStyle/>
              <a:p>
                <a:pPr algn="ctr">
                  <a:defRPr/>
                </a:pPr>
                <a:r>
                  <a:rPr lang="en-US" cap="none" sz="1000" b="1" i="0" u="none" baseline="0">
                    <a:latin typeface="Arial"/>
                    <a:ea typeface="Arial"/>
                    <a:cs typeface="Arial"/>
                  </a:rPr>
                  <a:t>Seuil de remplissage critique</a:t>
                </a:r>
              </a:p>
            </c:rich>
          </c:tx>
          <c:layout/>
          <c:overlay val="0"/>
          <c:spPr>
            <a:noFill/>
            <a:ln>
              <a:noFill/>
            </a:ln>
          </c:spPr>
        </c:title>
        <c:majorGridlines/>
        <c:minorGridlines/>
        <c:delete val="0"/>
        <c:numFmt formatCode="0.0" sourceLinked="0"/>
        <c:majorTickMark val="out"/>
        <c:minorTickMark val="out"/>
        <c:tickLblPos val="nextTo"/>
        <c:txPr>
          <a:bodyPr/>
          <a:lstStyle/>
          <a:p>
            <a:pPr>
              <a:defRPr lang="en-US" cap="none" sz="1000" b="0" i="0" u="none" baseline="0">
                <a:latin typeface="Arial"/>
                <a:ea typeface="Arial"/>
                <a:cs typeface="Arial"/>
              </a:defRPr>
            </a:pPr>
          </a:p>
        </c:txPr>
        <c:crossAx val="44948115"/>
        <c:crosses val="autoZero"/>
        <c:crossBetween val="midCat"/>
        <c:dispUnits/>
      </c:valAx>
      <c:valAx>
        <c:axId val="44948115"/>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7190018"/>
        <c:crosses val="autoZero"/>
        <c:crossBetween val="midCat"/>
        <c:dispUnits/>
      </c:valAx>
      <c:spPr>
        <a:noFill/>
        <a:ln w="12700">
          <a:solidFill>
            <a:srgbClr val="808080"/>
          </a:solidFill>
        </a:ln>
      </c:spPr>
    </c:plotArea>
    <c:legend>
      <c:legendPos val="r"/>
      <c:layout>
        <c:manualLayout>
          <c:xMode val="edge"/>
          <c:yMode val="edge"/>
          <c:x val="0.78975"/>
          <c:y val="0.0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Débordement vs seuil critique de remplissage</a:t>
            </a:r>
          </a:p>
        </c:rich>
      </c:tx>
      <c:layout>
        <c:manualLayout>
          <c:xMode val="factor"/>
          <c:yMode val="factor"/>
          <c:x val="-0.101"/>
          <c:y val="-0.0135"/>
        </c:manualLayout>
      </c:layout>
      <c:spPr>
        <a:noFill/>
        <a:ln>
          <a:noFill/>
        </a:ln>
      </c:spPr>
    </c:title>
    <c:plotArea>
      <c:layout>
        <c:manualLayout>
          <c:xMode val="edge"/>
          <c:yMode val="edge"/>
          <c:x val="0.06575"/>
          <c:y val="0.1665"/>
          <c:w val="0.92625"/>
          <c:h val="0.72525"/>
        </c:manualLayout>
      </c:layout>
      <c:scatterChart>
        <c:scatterStyle val="lineMarker"/>
        <c:varyColors val="0"/>
        <c:ser>
          <c:idx val="0"/>
          <c:order val="0"/>
          <c:tx>
            <c:strRef>
              <c:f>res_débord!$A$21</c:f>
              <c:strCache>
                <c:ptCount val="1"/>
                <c:pt idx="0">
                  <c:v>Reliability</c:v>
                </c:pt>
              </c:strCache>
            </c:strRef>
          </c:tx>
          <c:extLst>
            <c:ext xmlns:c14="http://schemas.microsoft.com/office/drawing/2007/8/2/chart" uri="{6F2FDCE9-48DA-4B69-8628-5D25D57E5C99}">
              <c14:invertSolidFillFmt>
                <c14:spPr>
                  <a:solidFill>
                    <a:srgbClr val="000000"/>
                  </a:solidFill>
                </c14:spPr>
              </c14:invertSolidFillFmt>
            </c:ext>
          </c:extLst>
          <c:xVal>
            <c:numRef>
              <c:f>res_débord!$B$20:$H$20</c:f>
              <c:numCache>
                <c:ptCount val="7"/>
                <c:pt idx="0">
                  <c:v>0</c:v>
                </c:pt>
                <c:pt idx="1">
                  <c:v>0.2</c:v>
                </c:pt>
                <c:pt idx="2">
                  <c:v>0.4</c:v>
                </c:pt>
                <c:pt idx="3">
                  <c:v>0.5</c:v>
                </c:pt>
                <c:pt idx="4">
                  <c:v>0.6</c:v>
                </c:pt>
                <c:pt idx="5">
                  <c:v>0.8</c:v>
                </c:pt>
                <c:pt idx="6">
                  <c:v>0.9</c:v>
                </c:pt>
              </c:numCache>
            </c:numRef>
          </c:xVal>
          <c:yVal>
            <c:numRef>
              <c:f>res_débord!$B$21:$H$21</c:f>
              <c:numCache>
                <c:ptCount val="7"/>
                <c:pt idx="0">
                  <c:v>57.5</c:v>
                </c:pt>
                <c:pt idx="1">
                  <c:v>56.6666666666667</c:v>
                </c:pt>
                <c:pt idx="2">
                  <c:v>55.8333333333333</c:v>
                </c:pt>
                <c:pt idx="3">
                  <c:v>54.1666666666667</c:v>
                </c:pt>
                <c:pt idx="4">
                  <c:v>50.8333333333333</c:v>
                </c:pt>
                <c:pt idx="5">
                  <c:v>47.5</c:v>
                </c:pt>
                <c:pt idx="6">
                  <c:v>47.5</c:v>
                </c:pt>
              </c:numCache>
            </c:numRef>
          </c:yVal>
          <c:smooth val="0"/>
        </c:ser>
        <c:ser>
          <c:idx val="1"/>
          <c:order val="1"/>
          <c:tx>
            <c:strRef>
              <c:f>res_débord!$A$22</c:f>
              <c:strCache>
                <c:ptCount val="1"/>
                <c:pt idx="0">
                  <c:v>Resilience</c:v>
                </c:pt>
              </c:strCache>
            </c:strRef>
          </c:tx>
          <c:extLst>
            <c:ext xmlns:c14="http://schemas.microsoft.com/office/drawing/2007/8/2/chart" uri="{6F2FDCE9-48DA-4B69-8628-5D25D57E5C99}">
              <c14:invertSolidFillFmt>
                <c14:spPr>
                  <a:solidFill>
                    <a:srgbClr val="000000"/>
                  </a:solidFill>
                </c14:spPr>
              </c14:invertSolidFillFmt>
            </c:ext>
          </c:extLst>
          <c:xVal>
            <c:numRef>
              <c:f>res_débord!$B$20:$H$20</c:f>
              <c:numCache>
                <c:ptCount val="7"/>
                <c:pt idx="0">
                  <c:v>0</c:v>
                </c:pt>
                <c:pt idx="1">
                  <c:v>0.2</c:v>
                </c:pt>
                <c:pt idx="2">
                  <c:v>0.4</c:v>
                </c:pt>
                <c:pt idx="3">
                  <c:v>0.5</c:v>
                </c:pt>
                <c:pt idx="4">
                  <c:v>0.6</c:v>
                </c:pt>
                <c:pt idx="5">
                  <c:v>0.8</c:v>
                </c:pt>
                <c:pt idx="6">
                  <c:v>0.9</c:v>
                </c:pt>
              </c:numCache>
            </c:numRef>
          </c:xVal>
          <c:yVal>
            <c:numRef>
              <c:f>res_débord!$B$22:$H$22</c:f>
              <c:numCache>
                <c:ptCount val="7"/>
                <c:pt idx="0">
                  <c:v>21.5686274509804</c:v>
                </c:pt>
                <c:pt idx="1">
                  <c:v>21.1538461538462</c:v>
                </c:pt>
                <c:pt idx="2">
                  <c:v>22.6415094339623</c:v>
                </c:pt>
                <c:pt idx="3">
                  <c:v>21.8181818181818</c:v>
                </c:pt>
                <c:pt idx="4">
                  <c:v>23.728813559322</c:v>
                </c:pt>
                <c:pt idx="5">
                  <c:v>23.8095238095238</c:v>
                </c:pt>
                <c:pt idx="6">
                  <c:v>23.8095238095238</c:v>
                </c:pt>
              </c:numCache>
            </c:numRef>
          </c:yVal>
          <c:smooth val="0"/>
        </c:ser>
        <c:ser>
          <c:idx val="2"/>
          <c:order val="2"/>
          <c:tx>
            <c:strRef>
              <c:f>res_débord!$A$24</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res_débord!$B$20:$H$20</c:f>
              <c:numCache>
                <c:ptCount val="7"/>
                <c:pt idx="0">
                  <c:v>0</c:v>
                </c:pt>
                <c:pt idx="1">
                  <c:v>0.2</c:v>
                </c:pt>
                <c:pt idx="2">
                  <c:v>0.4</c:v>
                </c:pt>
                <c:pt idx="3">
                  <c:v>0.5</c:v>
                </c:pt>
                <c:pt idx="4">
                  <c:v>0.6</c:v>
                </c:pt>
                <c:pt idx="5">
                  <c:v>0.8</c:v>
                </c:pt>
                <c:pt idx="6">
                  <c:v>0.9</c:v>
                </c:pt>
              </c:numCache>
            </c:numRef>
          </c:xVal>
          <c:yVal>
            <c:numRef>
              <c:f>res_débord!$B$24:$H$24</c:f>
              <c:numCache>
                <c:ptCount val="7"/>
                <c:pt idx="0">
                  <c:v>83.0563326946756</c:v>
                </c:pt>
                <c:pt idx="1">
                  <c:v>83.0563326946756</c:v>
                </c:pt>
                <c:pt idx="2">
                  <c:v>83.0563326946756</c:v>
                </c:pt>
                <c:pt idx="3">
                  <c:v>83.0563326946756</c:v>
                </c:pt>
                <c:pt idx="4">
                  <c:v>83.0563326946756</c:v>
                </c:pt>
                <c:pt idx="5">
                  <c:v>87.290624596531</c:v>
                </c:pt>
                <c:pt idx="6">
                  <c:v>87.290624596531</c:v>
                </c:pt>
              </c:numCache>
            </c:numRef>
          </c:yVal>
          <c:smooth val="0"/>
        </c:ser>
        <c:axId val="1879852"/>
        <c:axId val="16918669"/>
      </c:scatterChart>
      <c:valAx>
        <c:axId val="1879852"/>
        <c:scaling>
          <c:orientation val="minMax"/>
        </c:scaling>
        <c:axPos val="b"/>
        <c:title>
          <c:tx>
            <c:rich>
              <a:bodyPr vert="horz" rot="0" anchor="ctr"/>
              <a:lstStyle/>
              <a:p>
                <a:pPr algn="ctr">
                  <a:defRPr/>
                </a:pPr>
                <a:r>
                  <a:rPr lang="en-US" cap="none" sz="1000" b="1" i="0" u="none" baseline="0">
                    <a:latin typeface="Arial"/>
                    <a:ea typeface="Arial"/>
                    <a:cs typeface="Arial"/>
                  </a:rPr>
                  <a:t>Seuil critique de remplissage</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6918669"/>
        <c:crosses val="autoZero"/>
        <c:crossBetween val="midCat"/>
        <c:dispUnits/>
      </c:valAx>
      <c:valAx>
        <c:axId val="16918669"/>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1879852"/>
        <c:crosses val="autoZero"/>
        <c:crossBetween val="midCat"/>
        <c:dispUnits/>
      </c:valAx>
      <c:spPr>
        <a:noFill/>
        <a:ln w="12700">
          <a:solidFill>
            <a:srgbClr val="808080"/>
          </a:solidFill>
        </a:ln>
      </c:spPr>
    </c:plotArea>
    <c:legend>
      <c:legendPos val="r"/>
      <c:layout>
        <c:manualLayout>
          <c:xMode val="edge"/>
          <c:yMode val="edge"/>
          <c:x val="0.79025"/>
          <c:y val="0.0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Alimentation vs demande </a:t>
            </a:r>
          </a:p>
        </c:rich>
      </c:tx>
      <c:layout>
        <c:manualLayout>
          <c:xMode val="factor"/>
          <c:yMode val="factor"/>
          <c:x val="-0.133"/>
          <c:y val="-0.009"/>
        </c:manualLayout>
      </c:layout>
      <c:spPr>
        <a:noFill/>
        <a:ln>
          <a:noFill/>
        </a:ln>
      </c:spPr>
    </c:title>
    <c:plotArea>
      <c:layout>
        <c:manualLayout>
          <c:xMode val="edge"/>
          <c:yMode val="edge"/>
          <c:x val="0.0595"/>
          <c:y val="0.108"/>
          <c:w val="0.9325"/>
          <c:h val="0.79225"/>
        </c:manualLayout>
      </c:layout>
      <c:scatterChart>
        <c:scatterStyle val="lineMarker"/>
        <c:varyColors val="0"/>
        <c:ser>
          <c:idx val="0"/>
          <c:order val="0"/>
          <c:tx>
            <c:strRef>
              <c:f>res_alimentation!$A$35</c:f>
              <c:strCache>
                <c:ptCount val="1"/>
                <c:pt idx="0">
                  <c:v>Reliability</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res_alimentation!$B$34:$G$34</c:f>
              <c:numCache>
                <c:ptCount val="6"/>
                <c:pt idx="0">
                  <c:v>2</c:v>
                </c:pt>
                <c:pt idx="1">
                  <c:v>5</c:v>
                </c:pt>
                <c:pt idx="2">
                  <c:v>7.5</c:v>
                </c:pt>
                <c:pt idx="3">
                  <c:v>10</c:v>
                </c:pt>
                <c:pt idx="4">
                  <c:v>10</c:v>
                </c:pt>
                <c:pt idx="5">
                  <c:v>15</c:v>
                </c:pt>
              </c:numCache>
            </c:numRef>
          </c:xVal>
          <c:yVal>
            <c:numRef>
              <c:f>res_alimentation!$B$35:$G$35</c:f>
              <c:numCache>
                <c:ptCount val="6"/>
                <c:pt idx="0">
                  <c:v>100</c:v>
                </c:pt>
                <c:pt idx="1">
                  <c:v>95</c:v>
                </c:pt>
                <c:pt idx="2">
                  <c:v>78.3333333333333</c:v>
                </c:pt>
                <c:pt idx="3">
                  <c:v>67.5</c:v>
                </c:pt>
                <c:pt idx="4">
                  <c:v>67.5</c:v>
                </c:pt>
                <c:pt idx="5">
                  <c:v>57.5</c:v>
                </c:pt>
              </c:numCache>
            </c:numRef>
          </c:yVal>
          <c:smooth val="0"/>
        </c:ser>
        <c:ser>
          <c:idx val="1"/>
          <c:order val="1"/>
          <c:tx>
            <c:strRef>
              <c:f>res_alimentation!$A$36</c:f>
              <c:strCache>
                <c:ptCount val="1"/>
                <c:pt idx="0">
                  <c:v>Resilience</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res_alimentation!$B$34:$G$34</c:f>
              <c:numCache>
                <c:ptCount val="6"/>
                <c:pt idx="0">
                  <c:v>2</c:v>
                </c:pt>
                <c:pt idx="1">
                  <c:v>5</c:v>
                </c:pt>
                <c:pt idx="2">
                  <c:v>7.5</c:v>
                </c:pt>
                <c:pt idx="3">
                  <c:v>10</c:v>
                </c:pt>
                <c:pt idx="4">
                  <c:v>10</c:v>
                </c:pt>
                <c:pt idx="5">
                  <c:v>15</c:v>
                </c:pt>
              </c:numCache>
            </c:numRef>
          </c:xVal>
          <c:yVal>
            <c:numRef>
              <c:f>res_alimentation!$B$36:$G$36</c:f>
              <c:numCache>
                <c:ptCount val="6"/>
                <c:pt idx="0">
                  <c:v>100</c:v>
                </c:pt>
                <c:pt idx="1">
                  <c:v>50</c:v>
                </c:pt>
                <c:pt idx="2">
                  <c:v>34.6153846153846</c:v>
                </c:pt>
                <c:pt idx="3">
                  <c:v>33.3333333333333</c:v>
                </c:pt>
                <c:pt idx="4">
                  <c:v>33.3333333333333</c:v>
                </c:pt>
                <c:pt idx="5">
                  <c:v>29.4117647058824</c:v>
                </c:pt>
              </c:numCache>
            </c:numRef>
          </c:yVal>
          <c:smooth val="0"/>
        </c:ser>
        <c:ser>
          <c:idx val="2"/>
          <c:order val="2"/>
          <c:tx>
            <c:strRef>
              <c:f>res_alimentation!$A$23</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res_alimentation!$B$34:$G$34</c:f>
              <c:numCache>
                <c:ptCount val="6"/>
                <c:pt idx="0">
                  <c:v>2</c:v>
                </c:pt>
                <c:pt idx="1">
                  <c:v>5</c:v>
                </c:pt>
                <c:pt idx="2">
                  <c:v>7.5</c:v>
                </c:pt>
                <c:pt idx="3">
                  <c:v>10</c:v>
                </c:pt>
                <c:pt idx="4">
                  <c:v>10</c:v>
                </c:pt>
                <c:pt idx="5">
                  <c:v>15</c:v>
                </c:pt>
              </c:numCache>
            </c:numRef>
          </c:xVal>
          <c:yVal>
            <c:numRef>
              <c:f>res_alimentation!$B$38:$G$38</c:f>
              <c:numCache>
                <c:ptCount val="6"/>
                <c:pt idx="0">
                  <c:v>0</c:v>
                </c:pt>
                <c:pt idx="1">
                  <c:v>50</c:v>
                </c:pt>
                <c:pt idx="2">
                  <c:v>61.6438356164384</c:v>
                </c:pt>
                <c:pt idx="3">
                  <c:v>100</c:v>
                </c:pt>
                <c:pt idx="4">
                  <c:v>100</c:v>
                </c:pt>
                <c:pt idx="5">
                  <c:v>100</c:v>
                </c:pt>
              </c:numCache>
            </c:numRef>
          </c:yVal>
          <c:smooth val="0"/>
        </c:ser>
        <c:ser>
          <c:idx val="3"/>
          <c:order val="3"/>
          <c:tx>
            <c:strRef>
              <c:f>res_alimentation!$A$40</c:f>
              <c:strCache>
                <c:ptCount val="1"/>
                <c:pt idx="0">
                  <c:v>satisfaction de la demande</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FF0000"/>
                </a:solidFill>
              </a:ln>
            </c:spPr>
          </c:marker>
          <c:xVal>
            <c:numRef>
              <c:f>res_alimentation!$B$34:$G$34</c:f>
              <c:numCache>
                <c:ptCount val="6"/>
                <c:pt idx="0">
                  <c:v>2</c:v>
                </c:pt>
                <c:pt idx="1">
                  <c:v>5</c:v>
                </c:pt>
                <c:pt idx="2">
                  <c:v>7.5</c:v>
                </c:pt>
                <c:pt idx="3">
                  <c:v>10</c:v>
                </c:pt>
                <c:pt idx="4">
                  <c:v>10</c:v>
                </c:pt>
                <c:pt idx="5">
                  <c:v>15</c:v>
                </c:pt>
              </c:numCache>
            </c:numRef>
          </c:xVal>
          <c:yVal>
            <c:numRef>
              <c:f>res_alimentation!$B$40:$G$40</c:f>
              <c:numCache>
                <c:ptCount val="6"/>
                <c:pt idx="0">
                  <c:v>99.1666666666667</c:v>
                </c:pt>
                <c:pt idx="1">
                  <c:v>96.6666666666667</c:v>
                </c:pt>
                <c:pt idx="2">
                  <c:v>88.236301369863</c:v>
                </c:pt>
                <c:pt idx="3">
                  <c:v>81.7461021136686</c:v>
                </c:pt>
                <c:pt idx="4">
                  <c:v>81.7461021136686</c:v>
                </c:pt>
                <c:pt idx="5">
                  <c:v>68.6666053748502</c:v>
                </c:pt>
              </c:numCache>
            </c:numRef>
          </c:yVal>
          <c:smooth val="0"/>
        </c:ser>
        <c:axId val="18050294"/>
        <c:axId val="28234919"/>
      </c:scatterChart>
      <c:valAx>
        <c:axId val="18050294"/>
        <c:scaling>
          <c:orientation val="minMax"/>
          <c:min val="2"/>
        </c:scaling>
        <c:axPos val="b"/>
        <c:title>
          <c:tx>
            <c:rich>
              <a:bodyPr vert="horz" rot="0" anchor="ctr"/>
              <a:lstStyle/>
              <a:p>
                <a:pPr algn="ctr">
                  <a:defRPr/>
                </a:pPr>
                <a:r>
                  <a:rPr lang="en-US" cap="none" sz="1000" b="1" i="0" u="none" baseline="0">
                    <a:latin typeface="Arial"/>
                    <a:ea typeface="Arial"/>
                    <a:cs typeface="Arial"/>
                  </a:rPr>
                  <a:t>Demande = objectif d'alimentation [10^6 l/jour]</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8234919"/>
        <c:crosses val="autoZero"/>
        <c:crossBetween val="midCat"/>
        <c:dispUnits/>
      </c:valAx>
      <c:valAx>
        <c:axId val="28234919"/>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General" sourceLinked="1"/>
        <c:majorTickMark val="out"/>
        <c:minorTickMark val="none"/>
        <c:tickLblPos val="nextTo"/>
        <c:txPr>
          <a:bodyPr/>
          <a:lstStyle/>
          <a:p>
            <a:pPr>
              <a:defRPr lang="en-US" cap="none" sz="1000" b="0" i="0" u="none" baseline="0">
                <a:latin typeface="Arial"/>
                <a:ea typeface="Arial"/>
                <a:cs typeface="Arial"/>
              </a:defRPr>
            </a:pPr>
          </a:p>
        </c:txPr>
        <c:crossAx val="18050294"/>
        <c:crosses val="autoZero"/>
        <c:crossBetween val="midCat"/>
        <c:dispUnits/>
      </c:valAx>
      <c:spPr>
        <a:noFill/>
        <a:ln w="12700">
          <a:solidFill>
            <a:srgbClr val="808080"/>
          </a:solidFill>
        </a:ln>
      </c:spPr>
    </c:plotArea>
    <c:legend>
      <c:legendPos val="r"/>
      <c:layout>
        <c:manualLayout>
          <c:xMode val="edge"/>
          <c:yMode val="edge"/>
          <c:x val="0.664"/>
          <c:y val="0"/>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Pêche vs demande en eau potable</a:t>
            </a:r>
          </a:p>
        </c:rich>
      </c:tx>
      <c:layout/>
      <c:spPr>
        <a:noFill/>
        <a:ln>
          <a:noFill/>
        </a:ln>
      </c:spPr>
    </c:title>
    <c:plotArea>
      <c:layout>
        <c:manualLayout>
          <c:xMode val="edge"/>
          <c:yMode val="edge"/>
          <c:x val="0.06875"/>
          <c:y val="0.164"/>
          <c:w val="0.92325"/>
          <c:h val="0.72375"/>
        </c:manualLayout>
      </c:layout>
      <c:scatterChart>
        <c:scatterStyle val="lineMarker"/>
        <c:varyColors val="0"/>
        <c:ser>
          <c:idx val="0"/>
          <c:order val="0"/>
          <c:tx>
            <c:strRef>
              <c:f>res_pêche!$A$7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res_pêche!$B$34:$G$34</c:f>
              <c:numCache>
                <c:ptCount val="6"/>
                <c:pt idx="0">
                  <c:v>2</c:v>
                </c:pt>
                <c:pt idx="1">
                  <c:v>5</c:v>
                </c:pt>
                <c:pt idx="2">
                  <c:v>7.5</c:v>
                </c:pt>
                <c:pt idx="3">
                  <c:v>10</c:v>
                </c:pt>
                <c:pt idx="4">
                  <c:v>10</c:v>
                </c:pt>
                <c:pt idx="5">
                  <c:v>15</c:v>
                </c:pt>
              </c:numCache>
            </c:numRef>
          </c:xVal>
          <c:yVal>
            <c:numRef>
              <c:f>res_pêche!$B$35:$G$35</c:f>
              <c:numCache>
                <c:ptCount val="6"/>
                <c:pt idx="0">
                  <c:v>100</c:v>
                </c:pt>
                <c:pt idx="1">
                  <c:v>87.5</c:v>
                </c:pt>
                <c:pt idx="2">
                  <c:v>71.6666666666667</c:v>
                </c:pt>
                <c:pt idx="3">
                  <c:v>65.8333333333333</c:v>
                </c:pt>
                <c:pt idx="4">
                  <c:v>65.8333333333333</c:v>
                </c:pt>
                <c:pt idx="5">
                  <c:v>50.8333333333333</c:v>
                </c:pt>
              </c:numCache>
            </c:numRef>
          </c:yVal>
          <c:smooth val="0"/>
        </c:ser>
        <c:ser>
          <c:idx val="1"/>
          <c:order val="1"/>
          <c:tx>
            <c:strRef>
              <c:f>res_pêche!$A$8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res_pêche!$B$34:$G$34</c:f>
              <c:numCache>
                <c:ptCount val="6"/>
                <c:pt idx="0">
                  <c:v>2</c:v>
                </c:pt>
                <c:pt idx="1">
                  <c:v>5</c:v>
                </c:pt>
                <c:pt idx="2">
                  <c:v>7.5</c:v>
                </c:pt>
                <c:pt idx="3">
                  <c:v>10</c:v>
                </c:pt>
                <c:pt idx="4">
                  <c:v>10</c:v>
                </c:pt>
                <c:pt idx="5">
                  <c:v>15</c:v>
                </c:pt>
              </c:numCache>
            </c:numRef>
          </c:xVal>
          <c:yVal>
            <c:numRef>
              <c:f>res_pêche!$B$36:$G$36</c:f>
              <c:numCache>
                <c:ptCount val="6"/>
                <c:pt idx="0">
                  <c:v>100</c:v>
                </c:pt>
                <c:pt idx="1">
                  <c:v>53.3333333333333</c:v>
                </c:pt>
                <c:pt idx="2">
                  <c:v>29.4117647058824</c:v>
                </c:pt>
                <c:pt idx="3">
                  <c:v>34.1463414634146</c:v>
                </c:pt>
                <c:pt idx="4">
                  <c:v>34.1463414634146</c:v>
                </c:pt>
                <c:pt idx="5">
                  <c:v>27.1186440677966</c:v>
                </c:pt>
              </c:numCache>
            </c:numRef>
          </c:yVal>
          <c:smooth val="0"/>
        </c:ser>
        <c:ser>
          <c:idx val="2"/>
          <c:order val="2"/>
          <c:tx>
            <c:strRef>
              <c:f>res_pêche!$A$10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res_pêche!$B$34:$G$34</c:f>
              <c:numCache>
                <c:ptCount val="6"/>
                <c:pt idx="0">
                  <c:v>2</c:v>
                </c:pt>
                <c:pt idx="1">
                  <c:v>5</c:v>
                </c:pt>
                <c:pt idx="2">
                  <c:v>7.5</c:v>
                </c:pt>
                <c:pt idx="3">
                  <c:v>10</c:v>
                </c:pt>
                <c:pt idx="4">
                  <c:v>10</c:v>
                </c:pt>
                <c:pt idx="5">
                  <c:v>15</c:v>
                </c:pt>
              </c:numCache>
            </c:numRef>
          </c:xVal>
          <c:yVal>
            <c:numRef>
              <c:f>res_pêche!$B$38:$G$38</c:f>
              <c:numCache>
                <c:ptCount val="6"/>
                <c:pt idx="0">
                  <c:v>0</c:v>
                </c:pt>
                <c:pt idx="1">
                  <c:v>25.0926498191859</c:v>
                </c:pt>
                <c:pt idx="2">
                  <c:v>60.5594681126692</c:v>
                </c:pt>
                <c:pt idx="3">
                  <c:v>100</c:v>
                </c:pt>
                <c:pt idx="4">
                  <c:v>100</c:v>
                </c:pt>
                <c:pt idx="5">
                  <c:v>100</c:v>
                </c:pt>
              </c:numCache>
            </c:numRef>
          </c:yVal>
          <c:smooth val="0"/>
        </c:ser>
        <c:axId val="52787680"/>
        <c:axId val="5327073"/>
      </c:scatterChart>
      <c:valAx>
        <c:axId val="52787680"/>
        <c:scaling>
          <c:orientation val="minMax"/>
          <c:min val="2"/>
        </c:scaling>
        <c:axPos val="b"/>
        <c:title>
          <c:tx>
            <c:rich>
              <a:bodyPr vert="horz" rot="0" anchor="ctr"/>
              <a:lstStyle/>
              <a:p>
                <a:pPr algn="ctr">
                  <a:defRPr/>
                </a:pPr>
                <a:r>
                  <a:rPr lang="en-US" cap="none" sz="1000" b="1" i="0" u="none" baseline="0">
                    <a:latin typeface="Arial"/>
                    <a:ea typeface="Arial"/>
                    <a:cs typeface="Arial"/>
                  </a:rPr>
                  <a:t>Demande en eau potable [10^6 l/jour]</a:t>
                </a:r>
              </a:p>
            </c:rich>
          </c:tx>
          <c:layout/>
          <c:overlay val="0"/>
          <c:spPr>
            <a:noFill/>
            <a:ln>
              <a:noFill/>
            </a:ln>
          </c:spPr>
        </c:title>
        <c:majorGridlines/>
        <c:minorGridlines/>
        <c:delete val="0"/>
        <c:numFmt formatCode="0.0" sourceLinked="0"/>
        <c:majorTickMark val="out"/>
        <c:minorTickMark val="out"/>
        <c:tickLblPos val="nextTo"/>
        <c:txPr>
          <a:bodyPr/>
          <a:lstStyle/>
          <a:p>
            <a:pPr>
              <a:defRPr lang="en-US" cap="none" sz="1000" b="0" i="0" u="none" baseline="0">
                <a:latin typeface="Arial"/>
                <a:ea typeface="Arial"/>
                <a:cs typeface="Arial"/>
              </a:defRPr>
            </a:pPr>
          </a:p>
        </c:txPr>
        <c:crossAx val="5327073"/>
        <c:crosses val="autoZero"/>
        <c:crossBetween val="midCat"/>
        <c:dispUnits/>
      </c:valAx>
      <c:valAx>
        <c:axId val="5327073"/>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2787680"/>
        <c:crosses val="autoZero"/>
        <c:crossBetween val="midCat"/>
        <c:dispUnits/>
      </c:valAx>
      <c:spPr>
        <a:noFill/>
        <a:ln w="12700">
          <a:solidFill>
            <a:srgbClr val="808080"/>
          </a:solidFill>
        </a:ln>
      </c:spPr>
    </c:plotArea>
    <c:legend>
      <c:legendPos val="r"/>
      <c:layout>
        <c:manualLayout>
          <c:xMode val="edge"/>
          <c:yMode val="edge"/>
          <c:x val="0.78975"/>
          <c:y val="0.0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Récréation vs demande en eau potable</a:t>
            </a:r>
          </a:p>
        </c:rich>
      </c:tx>
      <c:layout>
        <c:manualLayout>
          <c:xMode val="factor"/>
          <c:yMode val="factor"/>
          <c:x val="-0.08875"/>
          <c:y val="-0.0135"/>
        </c:manualLayout>
      </c:layout>
      <c:spPr>
        <a:noFill/>
        <a:ln>
          <a:noFill/>
        </a:ln>
      </c:spPr>
    </c:title>
    <c:plotArea>
      <c:layout>
        <c:manualLayout>
          <c:xMode val="edge"/>
          <c:yMode val="edge"/>
          <c:x val="0.06575"/>
          <c:y val="0.16725"/>
          <c:w val="0.92625"/>
          <c:h val="0.724"/>
        </c:manualLayout>
      </c:layout>
      <c:scatterChart>
        <c:scatterStyle val="lineMarker"/>
        <c:varyColors val="0"/>
        <c:ser>
          <c:idx val="0"/>
          <c:order val="0"/>
          <c:tx>
            <c:strRef>
              <c:f>res_récréation!$A$20</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res_récréation!$B$32:$G$32</c:f>
              <c:numCache>
                <c:ptCount val="6"/>
                <c:pt idx="0">
                  <c:v>2</c:v>
                </c:pt>
                <c:pt idx="1">
                  <c:v>5</c:v>
                </c:pt>
                <c:pt idx="2">
                  <c:v>7.5</c:v>
                </c:pt>
                <c:pt idx="3">
                  <c:v>10</c:v>
                </c:pt>
                <c:pt idx="4">
                  <c:v>10</c:v>
                </c:pt>
                <c:pt idx="5">
                  <c:v>15</c:v>
                </c:pt>
              </c:numCache>
            </c:numRef>
          </c:xVal>
          <c:yVal>
            <c:numRef>
              <c:f>res_récréation!$B$33:$G$33</c:f>
              <c:numCache>
                <c:ptCount val="6"/>
                <c:pt idx="0">
                  <c:v>100</c:v>
                </c:pt>
                <c:pt idx="1">
                  <c:v>87.5</c:v>
                </c:pt>
                <c:pt idx="2">
                  <c:v>71.6666666666667</c:v>
                </c:pt>
                <c:pt idx="3">
                  <c:v>65.8333333333333</c:v>
                </c:pt>
                <c:pt idx="4">
                  <c:v>65.8333333333333</c:v>
                </c:pt>
                <c:pt idx="5">
                  <c:v>50.8333333333333</c:v>
                </c:pt>
              </c:numCache>
            </c:numRef>
          </c:yVal>
          <c:smooth val="0"/>
        </c:ser>
        <c:ser>
          <c:idx val="1"/>
          <c:order val="1"/>
          <c:tx>
            <c:strRef>
              <c:f>res_récréation!$A$21</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res_récréation!$B$32:$G$32</c:f>
              <c:numCache>
                <c:ptCount val="6"/>
                <c:pt idx="0">
                  <c:v>2</c:v>
                </c:pt>
                <c:pt idx="1">
                  <c:v>5</c:v>
                </c:pt>
                <c:pt idx="2">
                  <c:v>7.5</c:v>
                </c:pt>
                <c:pt idx="3">
                  <c:v>10</c:v>
                </c:pt>
                <c:pt idx="4">
                  <c:v>10</c:v>
                </c:pt>
                <c:pt idx="5">
                  <c:v>15</c:v>
                </c:pt>
              </c:numCache>
            </c:numRef>
          </c:xVal>
          <c:yVal>
            <c:numRef>
              <c:f>res_récréation!$B$34:$G$34</c:f>
              <c:numCache>
                <c:ptCount val="6"/>
                <c:pt idx="0">
                  <c:v>100</c:v>
                </c:pt>
                <c:pt idx="1">
                  <c:v>53.3333333333333</c:v>
                </c:pt>
                <c:pt idx="2">
                  <c:v>29.4117647058824</c:v>
                </c:pt>
                <c:pt idx="3">
                  <c:v>34.1463414634146</c:v>
                </c:pt>
                <c:pt idx="4">
                  <c:v>34.1463414634146</c:v>
                </c:pt>
                <c:pt idx="5">
                  <c:v>27.1186440677966</c:v>
                </c:pt>
              </c:numCache>
            </c:numRef>
          </c:yVal>
          <c:smooth val="0"/>
        </c:ser>
        <c:ser>
          <c:idx val="2"/>
          <c:order val="2"/>
          <c:tx>
            <c:strRef>
              <c:f>res_récréation!$A$23</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res_récréation!$B$32:$G$32</c:f>
              <c:numCache>
                <c:ptCount val="6"/>
                <c:pt idx="0">
                  <c:v>2</c:v>
                </c:pt>
                <c:pt idx="1">
                  <c:v>5</c:v>
                </c:pt>
                <c:pt idx="2">
                  <c:v>7.5</c:v>
                </c:pt>
                <c:pt idx="3">
                  <c:v>10</c:v>
                </c:pt>
                <c:pt idx="4">
                  <c:v>10</c:v>
                </c:pt>
                <c:pt idx="5">
                  <c:v>15</c:v>
                </c:pt>
              </c:numCache>
            </c:numRef>
          </c:xVal>
          <c:yVal>
            <c:numRef>
              <c:f>res_récréation!$B$36:$G$36</c:f>
              <c:numCache>
                <c:ptCount val="6"/>
                <c:pt idx="0">
                  <c:v>0</c:v>
                </c:pt>
                <c:pt idx="1">
                  <c:v>25.0926498191859</c:v>
                </c:pt>
                <c:pt idx="2">
                  <c:v>60.5594681126692</c:v>
                </c:pt>
                <c:pt idx="3">
                  <c:v>99.99866666666671</c:v>
                </c:pt>
                <c:pt idx="4">
                  <c:v>99.99866666666671</c:v>
                </c:pt>
                <c:pt idx="5">
                  <c:v>99.9999998728434</c:v>
                </c:pt>
              </c:numCache>
            </c:numRef>
          </c:yVal>
          <c:smooth val="0"/>
        </c:ser>
        <c:axId val="47943658"/>
        <c:axId val="28839739"/>
      </c:scatterChart>
      <c:valAx>
        <c:axId val="47943658"/>
        <c:scaling>
          <c:orientation val="minMax"/>
          <c:min val="2"/>
        </c:scaling>
        <c:axPos val="b"/>
        <c:title>
          <c:tx>
            <c:rich>
              <a:bodyPr vert="horz" rot="0" anchor="ctr"/>
              <a:lstStyle/>
              <a:p>
                <a:pPr algn="ctr">
                  <a:defRPr/>
                </a:pPr>
                <a:r>
                  <a:rPr lang="en-US" cap="none" sz="1000" b="1" i="0" u="none" baseline="0">
                    <a:latin typeface="Arial"/>
                    <a:ea typeface="Arial"/>
                    <a:cs typeface="Arial"/>
                  </a:rPr>
                  <a:t>Demande en eau potable</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28839739"/>
        <c:crosses val="autoZero"/>
        <c:crossBetween val="midCat"/>
        <c:dispUnits/>
      </c:valAx>
      <c:valAx>
        <c:axId val="28839739"/>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47943658"/>
        <c:crosses val="autoZero"/>
        <c:crossBetween val="midCat"/>
        <c:dispUnits/>
      </c:valAx>
      <c:spPr>
        <a:noFill/>
        <a:ln w="12700">
          <a:solidFill>
            <a:srgbClr val="808080"/>
          </a:solidFill>
        </a:ln>
      </c:spPr>
    </c:plotArea>
    <c:legend>
      <c:legendPos val="r"/>
      <c:layout>
        <c:manualLayout>
          <c:xMode val="edge"/>
          <c:yMode val="edge"/>
          <c:x val="0.79025"/>
          <c:y val="0.0087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Débordement vs demande en eau potable</a:t>
            </a:r>
          </a:p>
        </c:rich>
      </c:tx>
      <c:layout>
        <c:manualLayout>
          <c:xMode val="factor"/>
          <c:yMode val="factor"/>
          <c:x val="-0.11325"/>
          <c:y val="0.00675"/>
        </c:manualLayout>
      </c:layout>
      <c:spPr>
        <a:noFill/>
        <a:ln>
          <a:noFill/>
        </a:ln>
      </c:spPr>
    </c:title>
    <c:plotArea>
      <c:layout>
        <c:manualLayout>
          <c:xMode val="edge"/>
          <c:yMode val="edge"/>
          <c:x val="0.08625"/>
          <c:y val="0.199"/>
          <c:w val="0.903"/>
          <c:h val="0.66125"/>
        </c:manualLayout>
      </c:layout>
      <c:scatterChart>
        <c:scatterStyle val="lineMarker"/>
        <c:varyColors val="0"/>
        <c:ser>
          <c:idx val="0"/>
          <c:order val="0"/>
          <c:tx>
            <c:strRef>
              <c:f>res_débord!$A$7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res_débord!$B$34:$G$34</c:f>
              <c:numCache>
                <c:ptCount val="6"/>
                <c:pt idx="0">
                  <c:v>2</c:v>
                </c:pt>
                <c:pt idx="1">
                  <c:v>5</c:v>
                </c:pt>
                <c:pt idx="2">
                  <c:v>7.5</c:v>
                </c:pt>
                <c:pt idx="3">
                  <c:v>10</c:v>
                </c:pt>
                <c:pt idx="4">
                  <c:v>10</c:v>
                </c:pt>
                <c:pt idx="5">
                  <c:v>15</c:v>
                </c:pt>
              </c:numCache>
            </c:numRef>
          </c:xVal>
          <c:yVal>
            <c:numRef>
              <c:f>res_débord!$B$35:$G$35</c:f>
              <c:numCache>
                <c:ptCount val="6"/>
                <c:pt idx="0">
                  <c:v>35.8333333333333</c:v>
                </c:pt>
                <c:pt idx="1">
                  <c:v>48.3333333333333</c:v>
                </c:pt>
                <c:pt idx="2">
                  <c:v>54.1666666666667</c:v>
                </c:pt>
                <c:pt idx="3">
                  <c:v>56.6666666666667</c:v>
                </c:pt>
                <c:pt idx="4">
                  <c:v>56.6666666666667</c:v>
                </c:pt>
                <c:pt idx="5">
                  <c:v>66.6666666666667</c:v>
                </c:pt>
              </c:numCache>
            </c:numRef>
          </c:yVal>
          <c:smooth val="0"/>
        </c:ser>
        <c:ser>
          <c:idx val="1"/>
          <c:order val="1"/>
          <c:tx>
            <c:strRef>
              <c:f>res_débord!$A$8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res_débord!$B$34:$G$34</c:f>
              <c:numCache>
                <c:ptCount val="6"/>
                <c:pt idx="0">
                  <c:v>2</c:v>
                </c:pt>
                <c:pt idx="1">
                  <c:v>5</c:v>
                </c:pt>
                <c:pt idx="2">
                  <c:v>7.5</c:v>
                </c:pt>
                <c:pt idx="3">
                  <c:v>10</c:v>
                </c:pt>
                <c:pt idx="4">
                  <c:v>10</c:v>
                </c:pt>
                <c:pt idx="5">
                  <c:v>15</c:v>
                </c:pt>
              </c:numCache>
            </c:numRef>
          </c:xVal>
          <c:yVal>
            <c:numRef>
              <c:f>res_débord!$B$36:$G$36</c:f>
              <c:numCache>
                <c:ptCount val="6"/>
                <c:pt idx="0">
                  <c:v>20.7792207792208</c:v>
                </c:pt>
                <c:pt idx="1">
                  <c:v>24.1935483870968</c:v>
                </c:pt>
                <c:pt idx="2">
                  <c:v>21.8181818181818</c:v>
                </c:pt>
                <c:pt idx="3">
                  <c:v>23.0769230769231</c:v>
                </c:pt>
                <c:pt idx="4">
                  <c:v>23.0769230769231</c:v>
                </c:pt>
                <c:pt idx="5">
                  <c:v>35</c:v>
                </c:pt>
              </c:numCache>
            </c:numRef>
          </c:yVal>
          <c:smooth val="0"/>
        </c:ser>
        <c:ser>
          <c:idx val="2"/>
          <c:order val="2"/>
          <c:tx>
            <c:strRef>
              <c:f>res_débord!$A$10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res_débord!$B$34:$G$34</c:f>
              <c:numCache>
                <c:ptCount val="6"/>
                <c:pt idx="0">
                  <c:v>2</c:v>
                </c:pt>
                <c:pt idx="1">
                  <c:v>5</c:v>
                </c:pt>
                <c:pt idx="2">
                  <c:v>7.5</c:v>
                </c:pt>
                <c:pt idx="3">
                  <c:v>10</c:v>
                </c:pt>
                <c:pt idx="4">
                  <c:v>10</c:v>
                </c:pt>
                <c:pt idx="5">
                  <c:v>15</c:v>
                </c:pt>
              </c:numCache>
            </c:numRef>
          </c:xVal>
          <c:yVal>
            <c:numRef>
              <c:f>res_débord!$B$38:$G$38</c:f>
              <c:numCache>
                <c:ptCount val="6"/>
                <c:pt idx="0">
                  <c:v>97.7417109856771</c:v>
                </c:pt>
                <c:pt idx="1">
                  <c:v>91.5249164983865</c:v>
                </c:pt>
                <c:pt idx="2">
                  <c:v>83.0563326946756</c:v>
                </c:pt>
                <c:pt idx="3">
                  <c:v>76.9035811220071</c:v>
                </c:pt>
                <c:pt idx="4">
                  <c:v>76.9035811220071</c:v>
                </c:pt>
                <c:pt idx="5">
                  <c:v>71.2578585861998</c:v>
                </c:pt>
              </c:numCache>
            </c:numRef>
          </c:yVal>
          <c:smooth val="0"/>
        </c:ser>
        <c:axId val="58231060"/>
        <c:axId val="54317493"/>
      </c:scatterChart>
      <c:valAx>
        <c:axId val="58231060"/>
        <c:scaling>
          <c:orientation val="minMax"/>
          <c:min val="2"/>
        </c:scaling>
        <c:axPos val="b"/>
        <c:title>
          <c:tx>
            <c:rich>
              <a:bodyPr vert="horz" rot="0" anchor="ctr"/>
              <a:lstStyle/>
              <a:p>
                <a:pPr algn="ctr">
                  <a:defRPr/>
                </a:pPr>
                <a:r>
                  <a:rPr lang="en-US" cap="none" sz="1000" b="1" i="0" u="none" baseline="0">
                    <a:latin typeface="Arial"/>
                    <a:ea typeface="Arial"/>
                    <a:cs typeface="Arial"/>
                  </a:rPr>
                  <a:t>Demande en eau potable [10^6 l/jour]</a:t>
                </a:r>
              </a:p>
            </c:rich>
          </c:tx>
          <c:layout/>
          <c:overlay val="0"/>
          <c:spPr>
            <a:noFill/>
            <a:ln>
              <a:noFill/>
            </a:ln>
          </c:spPr>
        </c:title>
        <c:majorGridlines/>
        <c:minorGridlines/>
        <c:delete val="0"/>
        <c:numFmt formatCode="0.0" sourceLinked="0"/>
        <c:majorTickMark val="out"/>
        <c:minorTickMark val="out"/>
        <c:tickLblPos val="nextTo"/>
        <c:txPr>
          <a:bodyPr/>
          <a:lstStyle/>
          <a:p>
            <a:pPr>
              <a:defRPr lang="en-US" cap="none" sz="1000" b="0" i="0" u="none" baseline="0">
                <a:latin typeface="Arial"/>
                <a:ea typeface="Arial"/>
                <a:cs typeface="Arial"/>
              </a:defRPr>
            </a:pPr>
          </a:p>
        </c:txPr>
        <c:crossAx val="54317493"/>
        <c:crosses val="autoZero"/>
        <c:crossBetween val="midCat"/>
        <c:dispUnits/>
      </c:valAx>
      <c:valAx>
        <c:axId val="54317493"/>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58231060"/>
        <c:crosses val="autoZero"/>
        <c:crossBetween val="midCat"/>
        <c:dispUnits/>
      </c:valAx>
      <c:spPr>
        <a:noFill/>
        <a:ln w="12700">
          <a:solidFill>
            <a:srgbClr val="808080"/>
          </a:solidFill>
        </a:ln>
      </c:spPr>
    </c:plotArea>
    <c:legend>
      <c:legendPos val="r"/>
      <c:layout>
        <c:manualLayout>
          <c:xMode val="edge"/>
          <c:yMode val="edge"/>
          <c:x val="0.779"/>
          <c:y val="0"/>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Surface - Stockage</a:t>
            </a:r>
          </a:p>
        </c:rich>
      </c:tx>
      <c:layout/>
      <c:spPr>
        <a:noFill/>
        <a:ln>
          <a:noFill/>
        </a:ln>
      </c:spPr>
    </c:title>
    <c:plotArea>
      <c:layout/>
      <c:scatterChart>
        <c:scatterStyle val="lineMarker"/>
        <c:varyColors val="0"/>
        <c:ser>
          <c:idx val="0"/>
          <c:order val="0"/>
          <c:tx>
            <c:strRef>
              <c:f>'surface-volume'!$D$9</c:f>
              <c:strCache>
                <c:ptCount val="1"/>
                <c:pt idx="0">
                  <c:v>Area (m2)</c:v>
                </c:pt>
              </c:strCache>
            </c:strRef>
          </c:tx>
          <c:extLst>
            <c:ext xmlns:c14="http://schemas.microsoft.com/office/drawing/2007/8/2/chart" uri="{6F2FDCE9-48DA-4B69-8628-5D25D57E5C99}">
              <c14:invertSolidFillFmt>
                <c14:spPr>
                  <a:solidFill>
                    <a:srgbClr val="000000"/>
                  </a:solidFill>
                </c14:spPr>
              </c14:invertSolidFillFmt>
            </c:ext>
          </c:extLst>
          <c:xVal>
            <c:numRef>
              <c:f>'surface-volume'!$C$10:$C$20</c:f>
              <c:numCache>
                <c:ptCount val="11"/>
                <c:pt idx="0">
                  <c:v>0</c:v>
                </c:pt>
                <c:pt idx="1">
                  <c:v>62500</c:v>
                </c:pt>
                <c:pt idx="2">
                  <c:v>250000</c:v>
                </c:pt>
                <c:pt idx="3">
                  <c:v>562500</c:v>
                </c:pt>
                <c:pt idx="4">
                  <c:v>1000000</c:v>
                </c:pt>
                <c:pt idx="5">
                  <c:v>1562500</c:v>
                </c:pt>
                <c:pt idx="6">
                  <c:v>2250000</c:v>
                </c:pt>
                <c:pt idx="7">
                  <c:v>3062500</c:v>
                </c:pt>
                <c:pt idx="8">
                  <c:v>4000000</c:v>
                </c:pt>
                <c:pt idx="9">
                  <c:v>5062500</c:v>
                </c:pt>
                <c:pt idx="10">
                  <c:v>6250000</c:v>
                </c:pt>
              </c:numCache>
            </c:numRef>
          </c:xVal>
          <c:yVal>
            <c:numRef>
              <c:f>'surface-volume'!$D$10:$D$20</c:f>
              <c:numCache>
                <c:ptCount val="11"/>
                <c:pt idx="0">
                  <c:v>0</c:v>
                </c:pt>
                <c:pt idx="1">
                  <c:v>25000</c:v>
                </c:pt>
                <c:pt idx="2">
                  <c:v>50000</c:v>
                </c:pt>
                <c:pt idx="3">
                  <c:v>75000</c:v>
                </c:pt>
                <c:pt idx="4">
                  <c:v>100000</c:v>
                </c:pt>
                <c:pt idx="5">
                  <c:v>125000</c:v>
                </c:pt>
                <c:pt idx="6">
                  <c:v>150000</c:v>
                </c:pt>
                <c:pt idx="7">
                  <c:v>175000</c:v>
                </c:pt>
                <c:pt idx="8">
                  <c:v>200000</c:v>
                </c:pt>
                <c:pt idx="9">
                  <c:v>225000</c:v>
                </c:pt>
                <c:pt idx="10">
                  <c:v>250000</c:v>
                </c:pt>
              </c:numCache>
            </c:numRef>
          </c:yVal>
          <c:smooth val="0"/>
        </c:ser>
        <c:axId val="19095390"/>
        <c:axId val="37640783"/>
      </c:scatterChart>
      <c:valAx>
        <c:axId val="19095390"/>
        <c:scaling>
          <c:orientation val="minMax"/>
        </c:scaling>
        <c:axPos val="b"/>
        <c:title>
          <c:tx>
            <c:rich>
              <a:bodyPr vert="horz" rot="0" anchor="ctr"/>
              <a:lstStyle/>
              <a:p>
                <a:pPr algn="ctr">
                  <a:defRPr/>
                </a:pPr>
                <a:r>
                  <a:rPr lang="en-US" cap="none" sz="1125" b="1" i="0" u="none" baseline="0">
                    <a:latin typeface="Arial"/>
                    <a:ea typeface="Arial"/>
                    <a:cs typeface="Arial"/>
                  </a:rPr>
                  <a:t>Volume (m3)</a:t>
                </a:r>
              </a:p>
            </c:rich>
          </c:tx>
          <c:layout/>
          <c:overlay val="0"/>
          <c:spPr>
            <a:noFill/>
            <a:ln>
              <a:noFill/>
            </a:ln>
          </c:spPr>
        </c:title>
        <c:delete val="0"/>
        <c:numFmt formatCode="0.E+00" sourceLinked="0"/>
        <c:majorTickMark val="out"/>
        <c:minorTickMark val="none"/>
        <c:tickLblPos val="nextTo"/>
        <c:crossAx val="37640783"/>
        <c:crosses val="autoZero"/>
        <c:crossBetween val="midCat"/>
        <c:dispUnits/>
      </c:valAx>
      <c:valAx>
        <c:axId val="37640783"/>
        <c:scaling>
          <c:orientation val="minMax"/>
        </c:scaling>
        <c:axPos val="l"/>
        <c:title>
          <c:tx>
            <c:rich>
              <a:bodyPr vert="horz" rot="-5400000" anchor="ctr"/>
              <a:lstStyle/>
              <a:p>
                <a:pPr algn="ctr">
                  <a:defRPr/>
                </a:pPr>
                <a:r>
                  <a:rPr lang="en-US" cap="none" sz="1125" b="1" i="0" u="none" baseline="0">
                    <a:latin typeface="Arial"/>
                    <a:ea typeface="Arial"/>
                    <a:cs typeface="Arial"/>
                  </a:rPr>
                  <a:t>Surface (m2)</a:t>
                </a:r>
              </a:p>
            </c:rich>
          </c:tx>
          <c:layout/>
          <c:overlay val="0"/>
          <c:spPr>
            <a:noFill/>
            <a:ln>
              <a:noFill/>
            </a:ln>
          </c:spPr>
        </c:title>
        <c:majorGridlines/>
        <c:delete val="0"/>
        <c:numFmt formatCode="General" sourceLinked="1"/>
        <c:majorTickMark val="out"/>
        <c:minorTickMark val="none"/>
        <c:tickLblPos val="nextTo"/>
        <c:crossAx val="19095390"/>
        <c:crosses val="autoZero"/>
        <c:crossBetween val="midCat"/>
        <c:dispUnits/>
      </c:valAx>
      <c:spPr>
        <a:noFill/>
        <a:ln w="12700">
          <a:solidFill>
            <a:srgbClr val="808080"/>
          </a:solidFill>
        </a:ln>
      </c:spPr>
    </c:plotArea>
    <c:plotVisOnly val="1"/>
    <c:dispBlanksAs val="gap"/>
    <c:showDLblsOverMax val="0"/>
  </c:chart>
  <c:txPr>
    <a:bodyPr vert="horz" rot="0"/>
    <a:lstStyle/>
    <a:p>
      <a:pPr>
        <a:defRPr lang="en-US" cap="none" sz="11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Stockage dans le réservoir</a:t>
            </a:r>
          </a:p>
        </c:rich>
      </c:tx>
      <c:layout>
        <c:manualLayout>
          <c:xMode val="factor"/>
          <c:yMode val="factor"/>
          <c:x val="-0.1555"/>
          <c:y val="0"/>
        </c:manualLayout>
      </c:layout>
      <c:spPr>
        <a:noFill/>
        <a:ln>
          <a:noFill/>
        </a:ln>
      </c:spPr>
    </c:title>
    <c:plotArea>
      <c:layout>
        <c:manualLayout>
          <c:xMode val="edge"/>
          <c:yMode val="edge"/>
          <c:x val="0.072"/>
          <c:y val="0.1365"/>
          <c:w val="0.928"/>
          <c:h val="0.79025"/>
        </c:manualLayout>
      </c:layout>
      <c:scatterChart>
        <c:scatterStyle val="lineMarker"/>
        <c:varyColors val="0"/>
        <c:ser>
          <c:idx val="0"/>
          <c:order val="0"/>
          <c:tx>
            <c:v>stockage simulé</c:v>
          </c:tx>
          <c:extLst>
            <c:ext xmlns:c14="http://schemas.microsoft.com/office/drawing/2007/8/2/chart" uri="{6F2FDCE9-48DA-4B69-8628-5D25D57E5C99}">
              <c14:invertSolidFillFmt>
                <c14:spPr>
                  <a:solidFill>
                    <a:srgbClr val="000000"/>
                  </a:solidFill>
                </c14:spPr>
              </c14:invertSolidFillFmt>
            </c:ext>
          </c:extLst>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simulation!$C$11:$C$130</c:f>
              <c:numCache>
                <c:ptCount val="120"/>
                <c:pt idx="0">
                  <c:v>1</c:v>
                </c:pt>
                <c:pt idx="1">
                  <c:v>1</c:v>
                </c:pt>
                <c:pt idx="2">
                  <c:v>1</c:v>
                </c:pt>
                <c:pt idx="3">
                  <c:v>0.771875</c:v>
                </c:pt>
                <c:pt idx="4">
                  <c:v>0.54375</c:v>
                </c:pt>
                <c:pt idx="5">
                  <c:v>0.315625</c:v>
                </c:pt>
                <c:pt idx="6">
                  <c:v>1</c:v>
                </c:pt>
                <c:pt idx="7">
                  <c:v>1</c:v>
                </c:pt>
                <c:pt idx="8">
                  <c:v>1</c:v>
                </c:pt>
                <c:pt idx="9">
                  <c:v>1</c:v>
                </c:pt>
                <c:pt idx="10">
                  <c:v>1</c:v>
                </c:pt>
                <c:pt idx="11">
                  <c:v>1</c:v>
                </c:pt>
                <c:pt idx="12">
                  <c:v>1</c:v>
                </c:pt>
                <c:pt idx="13">
                  <c:v>1</c:v>
                </c:pt>
                <c:pt idx="14">
                  <c:v>1</c:v>
                </c:pt>
                <c:pt idx="15">
                  <c:v>1</c:v>
                </c:pt>
                <c:pt idx="16">
                  <c:v>0.771875</c:v>
                </c:pt>
                <c:pt idx="17">
                  <c:v>0.6498320467219207</c:v>
                </c:pt>
                <c:pt idx="18">
                  <c:v>0.4296517584912132</c:v>
                </c:pt>
                <c:pt idx="19">
                  <c:v>0.3155892584912132</c:v>
                </c:pt>
                <c:pt idx="20">
                  <c:v>0.2015267584912132</c:v>
                </c:pt>
                <c:pt idx="21">
                  <c:v>1</c:v>
                </c:pt>
                <c:pt idx="22">
                  <c:v>1</c:v>
                </c:pt>
                <c:pt idx="23">
                  <c:v>1</c:v>
                </c:pt>
                <c:pt idx="24">
                  <c:v>1</c:v>
                </c:pt>
                <c:pt idx="25">
                  <c:v>1</c:v>
                </c:pt>
                <c:pt idx="26">
                  <c:v>1</c:v>
                </c:pt>
                <c:pt idx="27">
                  <c:v>0.771875</c:v>
                </c:pt>
                <c:pt idx="28">
                  <c:v>0.54375</c:v>
                </c:pt>
                <c:pt idx="29">
                  <c:v>0.315625</c:v>
                </c:pt>
                <c:pt idx="30">
                  <c:v>0.2015625</c:v>
                </c:pt>
                <c:pt idx="31">
                  <c:v>0.4635163637838559</c:v>
                </c:pt>
                <c:pt idx="32">
                  <c:v>0.4717108787028688</c:v>
                </c:pt>
                <c:pt idx="33">
                  <c:v>1</c:v>
                </c:pt>
                <c:pt idx="34">
                  <c:v>1</c:v>
                </c:pt>
                <c:pt idx="35">
                  <c:v>1</c:v>
                </c:pt>
                <c:pt idx="36">
                  <c:v>1</c:v>
                </c:pt>
                <c:pt idx="37">
                  <c:v>1</c:v>
                </c:pt>
                <c:pt idx="38">
                  <c:v>1</c:v>
                </c:pt>
                <c:pt idx="39">
                  <c:v>0.8516447186487326</c:v>
                </c:pt>
                <c:pt idx="40">
                  <c:v>0.6235197186487327</c:v>
                </c:pt>
                <c:pt idx="41">
                  <c:v>0.9804767653706532</c:v>
                </c:pt>
                <c:pt idx="42">
                  <c:v>0.7523517653706533</c:v>
                </c:pt>
                <c:pt idx="43">
                  <c:v>0.5242267653706533</c:v>
                </c:pt>
                <c:pt idx="44">
                  <c:v>0.3063587802896661</c:v>
                </c:pt>
                <c:pt idx="45">
                  <c:v>0.3360136391842314</c:v>
                </c:pt>
                <c:pt idx="46">
                  <c:v>1</c:v>
                </c:pt>
                <c:pt idx="47">
                  <c:v>1</c:v>
                </c:pt>
                <c:pt idx="48">
                  <c:v>1</c:v>
                </c:pt>
                <c:pt idx="49">
                  <c:v>1</c:v>
                </c:pt>
                <c:pt idx="50">
                  <c:v>1</c:v>
                </c:pt>
                <c:pt idx="51">
                  <c:v>1</c:v>
                </c:pt>
                <c:pt idx="52">
                  <c:v>0.771875</c:v>
                </c:pt>
                <c:pt idx="53">
                  <c:v>0.54375</c:v>
                </c:pt>
                <c:pt idx="54">
                  <c:v>0.315625</c:v>
                </c:pt>
                <c:pt idx="55">
                  <c:v>0.7995788637838559</c:v>
                </c:pt>
                <c:pt idx="56">
                  <c:v>0.9087108787028687</c:v>
                </c:pt>
                <c:pt idx="57">
                  <c:v>1</c:v>
                </c:pt>
                <c:pt idx="58">
                  <c:v>1</c:v>
                </c:pt>
                <c:pt idx="59">
                  <c:v>1</c:v>
                </c:pt>
                <c:pt idx="60">
                  <c:v>1</c:v>
                </c:pt>
                <c:pt idx="61">
                  <c:v>0.771875</c:v>
                </c:pt>
                <c:pt idx="62">
                  <c:v>0.54375</c:v>
                </c:pt>
                <c:pt idx="63">
                  <c:v>0.7883947186487327</c:v>
                </c:pt>
                <c:pt idx="64">
                  <c:v>0.9306613249469439</c:v>
                </c:pt>
                <c:pt idx="65">
                  <c:v>0.702536324946944</c:v>
                </c:pt>
                <c:pt idx="66">
                  <c:v>0.7213560367162365</c:v>
                </c:pt>
                <c:pt idx="67">
                  <c:v>0.7752474005000924</c:v>
                </c:pt>
                <c:pt idx="68">
                  <c:v>1</c:v>
                </c:pt>
                <c:pt idx="69">
                  <c:v>0.9025923588945653</c:v>
                </c:pt>
                <c:pt idx="70">
                  <c:v>0.7716999124507243</c:v>
                </c:pt>
                <c:pt idx="71">
                  <c:v>1</c:v>
                </c:pt>
                <c:pt idx="72">
                  <c:v>1</c:v>
                </c:pt>
                <c:pt idx="73">
                  <c:v>1</c:v>
                </c:pt>
                <c:pt idx="74">
                  <c:v>1</c:v>
                </c:pt>
                <c:pt idx="75">
                  <c:v>1</c:v>
                </c:pt>
                <c:pt idx="76">
                  <c:v>0.771875</c:v>
                </c:pt>
                <c:pt idx="77">
                  <c:v>0.54375</c:v>
                </c:pt>
                <c:pt idx="78">
                  <c:v>0.315625</c:v>
                </c:pt>
                <c:pt idx="79">
                  <c:v>0.3845788637838559</c:v>
                </c:pt>
                <c:pt idx="80">
                  <c:v>0.9137733787028688</c:v>
                </c:pt>
                <c:pt idx="81">
                  <c:v>1</c:v>
                </c:pt>
                <c:pt idx="82">
                  <c:v>1</c:v>
                </c:pt>
                <c:pt idx="83">
                  <c:v>1</c:v>
                </c:pt>
                <c:pt idx="84">
                  <c:v>1</c:v>
                </c:pt>
                <c:pt idx="85">
                  <c:v>1</c:v>
                </c:pt>
                <c:pt idx="86">
                  <c:v>1</c:v>
                </c:pt>
                <c:pt idx="87">
                  <c:v>0.771875</c:v>
                </c:pt>
                <c:pt idx="88">
                  <c:v>0.54375</c:v>
                </c:pt>
                <c:pt idx="89">
                  <c:v>0.315625</c:v>
                </c:pt>
                <c:pt idx="90">
                  <c:v>0.2015625</c:v>
                </c:pt>
                <c:pt idx="91">
                  <c:v>0.0875</c:v>
                </c:pt>
                <c:pt idx="92">
                  <c:v>0.21425701491901278</c:v>
                </c:pt>
                <c:pt idx="93">
                  <c:v>0.15291187381357804</c:v>
                </c:pt>
                <c:pt idx="94">
                  <c:v>0.30308192736973694</c:v>
                </c:pt>
                <c:pt idx="95">
                  <c:v>0.4897992291358388</c:v>
                </c:pt>
                <c:pt idx="96">
                  <c:v>0.7576546824139182</c:v>
                </c:pt>
                <c:pt idx="97">
                  <c:v>1</c:v>
                </c:pt>
                <c:pt idx="98">
                  <c:v>0.771875</c:v>
                </c:pt>
                <c:pt idx="99">
                  <c:v>0.54375</c:v>
                </c:pt>
                <c:pt idx="100">
                  <c:v>0.42801660629821126</c:v>
                </c:pt>
                <c:pt idx="101">
                  <c:v>0.31395410629821124</c:v>
                </c:pt>
                <c:pt idx="102">
                  <c:v>0.43683631806750384</c:v>
                </c:pt>
                <c:pt idx="103">
                  <c:v>0.9887901818513596</c:v>
                </c:pt>
                <c:pt idx="104">
                  <c:v>0.7606651818513596</c:v>
                </c:pt>
                <c:pt idx="105">
                  <c:v>1</c:v>
                </c:pt>
                <c:pt idx="106">
                  <c:v>1</c:v>
                </c:pt>
                <c:pt idx="107">
                  <c:v>1</c:v>
                </c:pt>
                <c:pt idx="108">
                  <c:v>0.771875</c:v>
                </c:pt>
                <c:pt idx="109">
                  <c:v>1</c:v>
                </c:pt>
                <c:pt idx="110">
                  <c:v>1</c:v>
                </c:pt>
                <c:pt idx="111">
                  <c:v>0.771875</c:v>
                </c:pt>
                <c:pt idx="112">
                  <c:v>0.7471416062982114</c:v>
                </c:pt>
                <c:pt idx="113">
                  <c:v>0.5790986530201322</c:v>
                </c:pt>
                <c:pt idx="114">
                  <c:v>0.46991836478942467</c:v>
                </c:pt>
                <c:pt idx="115">
                  <c:v>0.3558558647894247</c:v>
                </c:pt>
                <c:pt idx="116">
                  <c:v>0.4180503797084375</c:v>
                </c:pt>
                <c:pt idx="117">
                  <c:v>0.7857052386030027</c:v>
                </c:pt>
                <c:pt idx="118">
                  <c:v>1</c:v>
                </c:pt>
                <c:pt idx="119">
                  <c:v>1</c:v>
                </c:pt>
              </c:numCache>
            </c:numRef>
          </c:yVal>
          <c:smooth val="0"/>
        </c:ser>
        <c:ser>
          <c:idx val="1"/>
          <c:order val="1"/>
          <c:tx>
            <c:v>seuil critique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simulation!$D$10:$D$130</c:f>
              <c:numCache>
                <c:ptCount val="121"/>
                <c:pt idx="0">
                  <c:v>0.5</c:v>
                </c:pt>
                <c:pt idx="1">
                  <c:v>0.5</c:v>
                </c:pt>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pt idx="27">
                  <c:v>0.5</c:v>
                </c:pt>
                <c:pt idx="28">
                  <c:v>0.5</c:v>
                </c:pt>
                <c:pt idx="29">
                  <c:v>0.5</c:v>
                </c:pt>
                <c:pt idx="30">
                  <c:v>0.5</c:v>
                </c:pt>
                <c:pt idx="31">
                  <c:v>0.5</c:v>
                </c:pt>
                <c:pt idx="32">
                  <c:v>0.5</c:v>
                </c:pt>
                <c:pt idx="33">
                  <c:v>0.5</c:v>
                </c:pt>
                <c:pt idx="34">
                  <c:v>0.5</c:v>
                </c:pt>
                <c:pt idx="35">
                  <c:v>0.5</c:v>
                </c:pt>
                <c:pt idx="36">
                  <c:v>0.5</c:v>
                </c:pt>
                <c:pt idx="37">
                  <c:v>0.5</c:v>
                </c:pt>
                <c:pt idx="38">
                  <c:v>0.5</c:v>
                </c:pt>
                <c:pt idx="39">
                  <c:v>0.5</c:v>
                </c:pt>
                <c:pt idx="40">
                  <c:v>0.5</c:v>
                </c:pt>
                <c:pt idx="41">
                  <c:v>0.5</c:v>
                </c:pt>
                <c:pt idx="42">
                  <c:v>0.5</c:v>
                </c:pt>
                <c:pt idx="43">
                  <c:v>0.5</c:v>
                </c:pt>
                <c:pt idx="44">
                  <c:v>0.5</c:v>
                </c:pt>
                <c:pt idx="45">
                  <c:v>0.5</c:v>
                </c:pt>
                <c:pt idx="46">
                  <c:v>0.5</c:v>
                </c:pt>
                <c:pt idx="47">
                  <c:v>0.5</c:v>
                </c:pt>
                <c:pt idx="48">
                  <c:v>0.5</c:v>
                </c:pt>
                <c:pt idx="49">
                  <c:v>0.5</c:v>
                </c:pt>
                <c:pt idx="50">
                  <c:v>0.5</c:v>
                </c:pt>
                <c:pt idx="51">
                  <c:v>0.5</c:v>
                </c:pt>
                <c:pt idx="52">
                  <c:v>0.5</c:v>
                </c:pt>
                <c:pt idx="53">
                  <c:v>0.5</c:v>
                </c:pt>
                <c:pt idx="54">
                  <c:v>0.5</c:v>
                </c:pt>
                <c:pt idx="55">
                  <c:v>0.5</c:v>
                </c:pt>
                <c:pt idx="56">
                  <c:v>0.5</c:v>
                </c:pt>
                <c:pt idx="57">
                  <c:v>0.5</c:v>
                </c:pt>
                <c:pt idx="58">
                  <c:v>0.5</c:v>
                </c:pt>
                <c:pt idx="59">
                  <c:v>0.5</c:v>
                </c:pt>
                <c:pt idx="60">
                  <c:v>0.5</c:v>
                </c:pt>
                <c:pt idx="61">
                  <c:v>0.5</c:v>
                </c:pt>
                <c:pt idx="62">
                  <c:v>0.5</c:v>
                </c:pt>
                <c:pt idx="63">
                  <c:v>0.5</c:v>
                </c:pt>
                <c:pt idx="64">
                  <c:v>0.5</c:v>
                </c:pt>
                <c:pt idx="65">
                  <c:v>0.5</c:v>
                </c:pt>
                <c:pt idx="66">
                  <c:v>0.5</c:v>
                </c:pt>
                <c:pt idx="67">
                  <c:v>0.5</c:v>
                </c:pt>
                <c:pt idx="68">
                  <c:v>0.5</c:v>
                </c:pt>
                <c:pt idx="69">
                  <c:v>0.5</c:v>
                </c:pt>
                <c:pt idx="70">
                  <c:v>0.5</c:v>
                </c:pt>
                <c:pt idx="71">
                  <c:v>0.5</c:v>
                </c:pt>
                <c:pt idx="72">
                  <c:v>0.5</c:v>
                </c:pt>
                <c:pt idx="73">
                  <c:v>0.5</c:v>
                </c:pt>
                <c:pt idx="74">
                  <c:v>0.5</c:v>
                </c:pt>
                <c:pt idx="75">
                  <c:v>0.5</c:v>
                </c:pt>
                <c:pt idx="76">
                  <c:v>0.5</c:v>
                </c:pt>
                <c:pt idx="77">
                  <c:v>0.5</c:v>
                </c:pt>
                <c:pt idx="78">
                  <c:v>0.5</c:v>
                </c:pt>
                <c:pt idx="79">
                  <c:v>0.5</c:v>
                </c:pt>
                <c:pt idx="80">
                  <c:v>0.5</c:v>
                </c:pt>
                <c:pt idx="81">
                  <c:v>0.5</c:v>
                </c:pt>
                <c:pt idx="82">
                  <c:v>0.5</c:v>
                </c:pt>
                <c:pt idx="83">
                  <c:v>0.5</c:v>
                </c:pt>
                <c:pt idx="84">
                  <c:v>0.5</c:v>
                </c:pt>
                <c:pt idx="85">
                  <c:v>0.5</c:v>
                </c:pt>
                <c:pt idx="86">
                  <c:v>0.5</c:v>
                </c:pt>
                <c:pt idx="87">
                  <c:v>0.5</c:v>
                </c:pt>
                <c:pt idx="88">
                  <c:v>0.5</c:v>
                </c:pt>
                <c:pt idx="89">
                  <c:v>0.5</c:v>
                </c:pt>
                <c:pt idx="90">
                  <c:v>0.5</c:v>
                </c:pt>
                <c:pt idx="91">
                  <c:v>0.5</c:v>
                </c:pt>
                <c:pt idx="92">
                  <c:v>0.5</c:v>
                </c:pt>
                <c:pt idx="93">
                  <c:v>0.5</c:v>
                </c:pt>
                <c:pt idx="94">
                  <c:v>0.5</c:v>
                </c:pt>
                <c:pt idx="95">
                  <c:v>0.5</c:v>
                </c:pt>
                <c:pt idx="96">
                  <c:v>0.5</c:v>
                </c:pt>
                <c:pt idx="97">
                  <c:v>0.5</c:v>
                </c:pt>
                <c:pt idx="98">
                  <c:v>0.5</c:v>
                </c:pt>
                <c:pt idx="99">
                  <c:v>0.5</c:v>
                </c:pt>
                <c:pt idx="100">
                  <c:v>0.5</c:v>
                </c:pt>
                <c:pt idx="101">
                  <c:v>0.5</c:v>
                </c:pt>
                <c:pt idx="102">
                  <c:v>0.5</c:v>
                </c:pt>
                <c:pt idx="103">
                  <c:v>0.5</c:v>
                </c:pt>
                <c:pt idx="104">
                  <c:v>0.5</c:v>
                </c:pt>
                <c:pt idx="105">
                  <c:v>0.5</c:v>
                </c:pt>
                <c:pt idx="106">
                  <c:v>0.5</c:v>
                </c:pt>
                <c:pt idx="107">
                  <c:v>0.5</c:v>
                </c:pt>
                <c:pt idx="108">
                  <c:v>0.5</c:v>
                </c:pt>
                <c:pt idx="109">
                  <c:v>0.5</c:v>
                </c:pt>
                <c:pt idx="110">
                  <c:v>0.5</c:v>
                </c:pt>
                <c:pt idx="111">
                  <c:v>0.5</c:v>
                </c:pt>
                <c:pt idx="112">
                  <c:v>0.5</c:v>
                </c:pt>
                <c:pt idx="113">
                  <c:v>0.5</c:v>
                </c:pt>
                <c:pt idx="114">
                  <c:v>0.5</c:v>
                </c:pt>
                <c:pt idx="115">
                  <c:v>0.5</c:v>
                </c:pt>
                <c:pt idx="116">
                  <c:v>0.5</c:v>
                </c:pt>
                <c:pt idx="117">
                  <c:v>0.5</c:v>
                </c:pt>
                <c:pt idx="118">
                  <c:v>0.5</c:v>
                </c:pt>
                <c:pt idx="119">
                  <c:v>0.5</c:v>
                </c:pt>
                <c:pt idx="120">
                  <c:v>0.5</c:v>
                </c:pt>
              </c:numCache>
            </c:numRef>
          </c:yVal>
          <c:smooth val="0"/>
        </c:ser>
        <c:axId val="31867326"/>
        <c:axId val="18370479"/>
      </c:scatterChart>
      <c:valAx>
        <c:axId val="31867326"/>
        <c:scaling>
          <c:orientation val="minMax"/>
        </c:scaling>
        <c:axPos val="b"/>
        <c:title>
          <c:tx>
            <c:rich>
              <a:bodyPr vert="horz" rot="0" anchor="ctr"/>
              <a:lstStyle/>
              <a:p>
                <a:pPr algn="ctr">
                  <a:defRPr/>
                </a:pPr>
                <a:r>
                  <a:rPr lang="en-US" cap="none" sz="1150" b="1" i="0" u="none" baseline="0">
                    <a:latin typeface="Arial"/>
                    <a:ea typeface="Arial"/>
                    <a:cs typeface="Arial"/>
                  </a:rPr>
                  <a:t>Temps (mois)</a:t>
                </a:r>
              </a:p>
            </c:rich>
          </c:tx>
          <c:layout/>
          <c:overlay val="0"/>
          <c:spPr>
            <a:noFill/>
            <a:ln>
              <a:noFill/>
            </a:ln>
          </c:spPr>
        </c:title>
        <c:delete val="0"/>
        <c:numFmt formatCode="General" sourceLinked="1"/>
        <c:majorTickMark val="out"/>
        <c:minorTickMark val="none"/>
        <c:tickLblPos val="nextTo"/>
        <c:crossAx val="18370479"/>
        <c:crosses val="autoZero"/>
        <c:crossBetween val="midCat"/>
        <c:dispUnits/>
      </c:valAx>
      <c:valAx>
        <c:axId val="18370479"/>
        <c:scaling>
          <c:orientation val="minMax"/>
          <c:max val="1"/>
          <c:min val="0"/>
        </c:scaling>
        <c:axPos val="l"/>
        <c:title>
          <c:tx>
            <c:rich>
              <a:bodyPr vert="horz" rot="-5400000" anchor="ctr"/>
              <a:lstStyle/>
              <a:p>
                <a:pPr algn="ctr">
                  <a:defRPr/>
                </a:pPr>
                <a:r>
                  <a:rPr lang="en-US" cap="none" sz="1150" b="1" i="0" u="none" baseline="0">
                    <a:latin typeface="Arial"/>
                    <a:ea typeface="Arial"/>
                    <a:cs typeface="Arial"/>
                  </a:rPr>
                  <a:t>Stockage relatif</a:t>
                </a:r>
              </a:p>
            </c:rich>
          </c:tx>
          <c:layout/>
          <c:overlay val="0"/>
          <c:spPr>
            <a:noFill/>
            <a:ln>
              <a:noFill/>
            </a:ln>
          </c:spPr>
        </c:title>
        <c:majorGridlines/>
        <c:delete val="0"/>
        <c:numFmt formatCode="0.0" sourceLinked="0"/>
        <c:majorTickMark val="out"/>
        <c:minorTickMark val="none"/>
        <c:tickLblPos val="nextTo"/>
        <c:crossAx val="31867326"/>
        <c:crosses val="autoZero"/>
        <c:crossBetween val="midCat"/>
        <c:dispUnits/>
      </c:valAx>
      <c:spPr>
        <a:noFill/>
        <a:ln w="12700">
          <a:solidFill>
            <a:srgbClr val="808080"/>
          </a:solidFill>
        </a:ln>
      </c:spPr>
    </c:plotArea>
    <c:legend>
      <c:legendPos val="r"/>
      <c:layout>
        <c:manualLayout>
          <c:xMode val="edge"/>
          <c:yMode val="edge"/>
          <c:x val="0.7395"/>
          <c:y val="0.011"/>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50" b="1" i="0" u="none" baseline="0">
                <a:latin typeface="Arial"/>
                <a:ea typeface="Arial"/>
                <a:cs typeface="Arial"/>
              </a:rPr>
              <a:t>Alimentation en eau potable</a:t>
            </a:r>
          </a:p>
        </c:rich>
      </c:tx>
      <c:layout>
        <c:manualLayout>
          <c:xMode val="factor"/>
          <c:yMode val="factor"/>
          <c:x val="-0.186"/>
          <c:y val="-0.00375"/>
        </c:manualLayout>
      </c:layout>
      <c:spPr>
        <a:noFill/>
        <a:ln>
          <a:noFill/>
        </a:ln>
      </c:spPr>
    </c:title>
    <c:plotArea>
      <c:layout>
        <c:manualLayout>
          <c:xMode val="edge"/>
          <c:yMode val="edge"/>
          <c:x val="0.0715"/>
          <c:y val="0.1215"/>
          <c:w val="0.9285"/>
          <c:h val="0.78875"/>
        </c:manualLayout>
      </c:layout>
      <c:scatterChart>
        <c:scatterStyle val="lineMarker"/>
        <c:varyColors val="0"/>
        <c:ser>
          <c:idx val="0"/>
          <c:order val="0"/>
          <c:tx>
            <c:v>Prélèvement simulé</c:v>
          </c:tx>
          <c:extLst>
            <c:ext xmlns:c14="http://schemas.microsoft.com/office/drawing/2007/8/2/chart" uri="{6F2FDCE9-48DA-4B69-8628-5D25D57E5C99}">
              <c14:invertSolidFillFmt>
                <c14:spPr>
                  <a:solidFill>
                    <a:srgbClr val="000000"/>
                  </a:solidFill>
                </c14:spPr>
              </c14:invertSolidFillFmt>
            </c:ext>
          </c:extLst>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simulation!$F$11:$F$130</c:f>
              <c:numCache>
                <c:ptCount val="120"/>
                <c:pt idx="0">
                  <c:v>7.5</c:v>
                </c:pt>
                <c:pt idx="1">
                  <c:v>7.5</c:v>
                </c:pt>
                <c:pt idx="2">
                  <c:v>7.5</c:v>
                </c:pt>
                <c:pt idx="3">
                  <c:v>7.5</c:v>
                </c:pt>
                <c:pt idx="4">
                  <c:v>7.5</c:v>
                </c:pt>
                <c:pt idx="5">
                  <c:v>7.5</c:v>
                </c:pt>
                <c:pt idx="6">
                  <c:v>3.75</c:v>
                </c:pt>
                <c:pt idx="7">
                  <c:v>7.5</c:v>
                </c:pt>
                <c:pt idx="8">
                  <c:v>7.5</c:v>
                </c:pt>
                <c:pt idx="9">
                  <c:v>7.5</c:v>
                </c:pt>
                <c:pt idx="10">
                  <c:v>7.5</c:v>
                </c:pt>
                <c:pt idx="11">
                  <c:v>7.5</c:v>
                </c:pt>
                <c:pt idx="12">
                  <c:v>7.5</c:v>
                </c:pt>
                <c:pt idx="13">
                  <c:v>7.5</c:v>
                </c:pt>
                <c:pt idx="14">
                  <c:v>7.5</c:v>
                </c:pt>
                <c:pt idx="15">
                  <c:v>7.5</c:v>
                </c:pt>
                <c:pt idx="16">
                  <c:v>7.5</c:v>
                </c:pt>
                <c:pt idx="17">
                  <c:v>7.5</c:v>
                </c:pt>
                <c:pt idx="18">
                  <c:v>7.5</c:v>
                </c:pt>
                <c:pt idx="19">
                  <c:v>3.75</c:v>
                </c:pt>
                <c:pt idx="20">
                  <c:v>3.75</c:v>
                </c:pt>
                <c:pt idx="21">
                  <c:v>3.75</c:v>
                </c:pt>
                <c:pt idx="22">
                  <c:v>7.5</c:v>
                </c:pt>
                <c:pt idx="23">
                  <c:v>7.5</c:v>
                </c:pt>
                <c:pt idx="24">
                  <c:v>7.5</c:v>
                </c:pt>
                <c:pt idx="25">
                  <c:v>7.5</c:v>
                </c:pt>
                <c:pt idx="26">
                  <c:v>7.5</c:v>
                </c:pt>
                <c:pt idx="27">
                  <c:v>7.5</c:v>
                </c:pt>
                <c:pt idx="28">
                  <c:v>7.5</c:v>
                </c:pt>
                <c:pt idx="29">
                  <c:v>7.5</c:v>
                </c:pt>
                <c:pt idx="30">
                  <c:v>3.75</c:v>
                </c:pt>
                <c:pt idx="31">
                  <c:v>3.75</c:v>
                </c:pt>
                <c:pt idx="32">
                  <c:v>3.75</c:v>
                </c:pt>
                <c:pt idx="33">
                  <c:v>3.75</c:v>
                </c:pt>
                <c:pt idx="34">
                  <c:v>7.5</c:v>
                </c:pt>
                <c:pt idx="35">
                  <c:v>7.5</c:v>
                </c:pt>
                <c:pt idx="36">
                  <c:v>7.5</c:v>
                </c:pt>
                <c:pt idx="37">
                  <c:v>7.5</c:v>
                </c:pt>
                <c:pt idx="38">
                  <c:v>7.5</c:v>
                </c:pt>
                <c:pt idx="39">
                  <c:v>7.5</c:v>
                </c:pt>
                <c:pt idx="40">
                  <c:v>7.5</c:v>
                </c:pt>
                <c:pt idx="41">
                  <c:v>7.5</c:v>
                </c:pt>
                <c:pt idx="42">
                  <c:v>7.5</c:v>
                </c:pt>
                <c:pt idx="43">
                  <c:v>7.5</c:v>
                </c:pt>
                <c:pt idx="44">
                  <c:v>7.5</c:v>
                </c:pt>
                <c:pt idx="45">
                  <c:v>3.75</c:v>
                </c:pt>
                <c:pt idx="46">
                  <c:v>3.75</c:v>
                </c:pt>
                <c:pt idx="47">
                  <c:v>7.5</c:v>
                </c:pt>
                <c:pt idx="48">
                  <c:v>7.5</c:v>
                </c:pt>
                <c:pt idx="49">
                  <c:v>7.5</c:v>
                </c:pt>
                <c:pt idx="50">
                  <c:v>7.5</c:v>
                </c:pt>
                <c:pt idx="51">
                  <c:v>7.5</c:v>
                </c:pt>
                <c:pt idx="52">
                  <c:v>7.5</c:v>
                </c:pt>
                <c:pt idx="53">
                  <c:v>7.5</c:v>
                </c:pt>
                <c:pt idx="54">
                  <c:v>7.5</c:v>
                </c:pt>
                <c:pt idx="55">
                  <c:v>3.75</c:v>
                </c:pt>
                <c:pt idx="56">
                  <c:v>7.5</c:v>
                </c:pt>
                <c:pt idx="57">
                  <c:v>7.5</c:v>
                </c:pt>
                <c:pt idx="58">
                  <c:v>7.5</c:v>
                </c:pt>
                <c:pt idx="59">
                  <c:v>7.5</c:v>
                </c:pt>
                <c:pt idx="60">
                  <c:v>7.5</c:v>
                </c:pt>
                <c:pt idx="61">
                  <c:v>7.5</c:v>
                </c:pt>
                <c:pt idx="62">
                  <c:v>7.5</c:v>
                </c:pt>
                <c:pt idx="63">
                  <c:v>7.5</c:v>
                </c:pt>
                <c:pt idx="64">
                  <c:v>7.5</c:v>
                </c:pt>
                <c:pt idx="65">
                  <c:v>7.5</c:v>
                </c:pt>
                <c:pt idx="66">
                  <c:v>7.5</c:v>
                </c:pt>
                <c:pt idx="67">
                  <c:v>7.5</c:v>
                </c:pt>
                <c:pt idx="68">
                  <c:v>7.5</c:v>
                </c:pt>
                <c:pt idx="69">
                  <c:v>7.5</c:v>
                </c:pt>
                <c:pt idx="70">
                  <c:v>7.5</c:v>
                </c:pt>
                <c:pt idx="71">
                  <c:v>7.5</c:v>
                </c:pt>
                <c:pt idx="72">
                  <c:v>7.5</c:v>
                </c:pt>
                <c:pt idx="73">
                  <c:v>7.5</c:v>
                </c:pt>
                <c:pt idx="74">
                  <c:v>7.5</c:v>
                </c:pt>
                <c:pt idx="75">
                  <c:v>7.5</c:v>
                </c:pt>
                <c:pt idx="76">
                  <c:v>7.5</c:v>
                </c:pt>
                <c:pt idx="77">
                  <c:v>7.5</c:v>
                </c:pt>
                <c:pt idx="78">
                  <c:v>7.5</c:v>
                </c:pt>
                <c:pt idx="79">
                  <c:v>3.75</c:v>
                </c:pt>
                <c:pt idx="80">
                  <c:v>3.75</c:v>
                </c:pt>
                <c:pt idx="81">
                  <c:v>7.5</c:v>
                </c:pt>
                <c:pt idx="82">
                  <c:v>7.5</c:v>
                </c:pt>
                <c:pt idx="83">
                  <c:v>7.5</c:v>
                </c:pt>
                <c:pt idx="84">
                  <c:v>7.5</c:v>
                </c:pt>
                <c:pt idx="85">
                  <c:v>7.5</c:v>
                </c:pt>
                <c:pt idx="86">
                  <c:v>7.5</c:v>
                </c:pt>
                <c:pt idx="87">
                  <c:v>7.5</c:v>
                </c:pt>
                <c:pt idx="88">
                  <c:v>7.5</c:v>
                </c:pt>
                <c:pt idx="89">
                  <c:v>7.5</c:v>
                </c:pt>
                <c:pt idx="90">
                  <c:v>3.75</c:v>
                </c:pt>
                <c:pt idx="91">
                  <c:v>3.75</c:v>
                </c:pt>
                <c:pt idx="92">
                  <c:v>2.8767123287671232</c:v>
                </c:pt>
                <c:pt idx="93">
                  <c:v>3.75</c:v>
                </c:pt>
                <c:pt idx="94">
                  <c:v>3.75</c:v>
                </c:pt>
                <c:pt idx="95">
                  <c:v>3.75</c:v>
                </c:pt>
                <c:pt idx="96">
                  <c:v>3.75</c:v>
                </c:pt>
                <c:pt idx="97">
                  <c:v>7.5</c:v>
                </c:pt>
                <c:pt idx="98">
                  <c:v>7.5</c:v>
                </c:pt>
                <c:pt idx="99">
                  <c:v>7.5</c:v>
                </c:pt>
                <c:pt idx="100">
                  <c:v>7.5</c:v>
                </c:pt>
                <c:pt idx="101">
                  <c:v>3.75</c:v>
                </c:pt>
                <c:pt idx="102">
                  <c:v>3.75</c:v>
                </c:pt>
                <c:pt idx="103">
                  <c:v>3.75</c:v>
                </c:pt>
                <c:pt idx="104">
                  <c:v>7.5</c:v>
                </c:pt>
                <c:pt idx="105">
                  <c:v>7.5</c:v>
                </c:pt>
                <c:pt idx="106">
                  <c:v>7.5</c:v>
                </c:pt>
                <c:pt idx="107">
                  <c:v>7.5</c:v>
                </c:pt>
                <c:pt idx="108">
                  <c:v>7.5</c:v>
                </c:pt>
                <c:pt idx="109">
                  <c:v>7.5</c:v>
                </c:pt>
                <c:pt idx="110">
                  <c:v>7.5</c:v>
                </c:pt>
                <c:pt idx="111">
                  <c:v>7.5</c:v>
                </c:pt>
                <c:pt idx="112">
                  <c:v>7.5</c:v>
                </c:pt>
                <c:pt idx="113">
                  <c:v>7.5</c:v>
                </c:pt>
                <c:pt idx="114">
                  <c:v>7.5</c:v>
                </c:pt>
                <c:pt idx="115">
                  <c:v>3.75</c:v>
                </c:pt>
                <c:pt idx="116">
                  <c:v>3.75</c:v>
                </c:pt>
                <c:pt idx="117">
                  <c:v>3.75</c:v>
                </c:pt>
                <c:pt idx="118">
                  <c:v>7.5</c:v>
                </c:pt>
                <c:pt idx="119">
                  <c:v>7.5</c:v>
                </c:pt>
              </c:numCache>
            </c:numRef>
          </c:yVal>
          <c:smooth val="0"/>
        </c:ser>
        <c:ser>
          <c:idx val="1"/>
          <c:order val="1"/>
          <c:tx>
            <c:v>Demande (prélèvement objectif)</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simulation!$J$11:$J$130</c:f>
              <c:numCache>
                <c:ptCount val="120"/>
                <c:pt idx="0">
                  <c:v>5.625</c:v>
                </c:pt>
                <c:pt idx="1">
                  <c:v>5.625</c:v>
                </c:pt>
                <c:pt idx="2">
                  <c:v>5.625</c:v>
                </c:pt>
                <c:pt idx="3">
                  <c:v>5.625</c:v>
                </c:pt>
                <c:pt idx="4">
                  <c:v>5.625</c:v>
                </c:pt>
                <c:pt idx="5">
                  <c:v>5.625</c:v>
                </c:pt>
                <c:pt idx="6">
                  <c:v>5.625</c:v>
                </c:pt>
                <c:pt idx="7">
                  <c:v>5.625</c:v>
                </c:pt>
                <c:pt idx="8">
                  <c:v>5.625</c:v>
                </c:pt>
                <c:pt idx="9">
                  <c:v>5.625</c:v>
                </c:pt>
                <c:pt idx="10">
                  <c:v>5.625</c:v>
                </c:pt>
                <c:pt idx="11">
                  <c:v>5.625</c:v>
                </c:pt>
                <c:pt idx="12">
                  <c:v>5.625</c:v>
                </c:pt>
                <c:pt idx="13">
                  <c:v>5.625</c:v>
                </c:pt>
                <c:pt idx="14">
                  <c:v>5.625</c:v>
                </c:pt>
                <c:pt idx="15">
                  <c:v>5.625</c:v>
                </c:pt>
                <c:pt idx="16">
                  <c:v>5.625</c:v>
                </c:pt>
                <c:pt idx="17">
                  <c:v>5.625</c:v>
                </c:pt>
                <c:pt idx="18">
                  <c:v>5.625</c:v>
                </c:pt>
                <c:pt idx="19">
                  <c:v>5.625</c:v>
                </c:pt>
                <c:pt idx="20">
                  <c:v>5.625</c:v>
                </c:pt>
                <c:pt idx="21">
                  <c:v>5.625</c:v>
                </c:pt>
                <c:pt idx="22">
                  <c:v>5.625</c:v>
                </c:pt>
                <c:pt idx="23">
                  <c:v>5.625</c:v>
                </c:pt>
                <c:pt idx="24">
                  <c:v>5.625</c:v>
                </c:pt>
                <c:pt idx="25">
                  <c:v>5.625</c:v>
                </c:pt>
                <c:pt idx="26">
                  <c:v>5.625</c:v>
                </c:pt>
                <c:pt idx="27">
                  <c:v>5.625</c:v>
                </c:pt>
                <c:pt idx="28">
                  <c:v>5.625</c:v>
                </c:pt>
                <c:pt idx="29">
                  <c:v>5.625</c:v>
                </c:pt>
                <c:pt idx="30">
                  <c:v>5.625</c:v>
                </c:pt>
                <c:pt idx="31">
                  <c:v>5.625</c:v>
                </c:pt>
                <c:pt idx="32">
                  <c:v>5.625</c:v>
                </c:pt>
                <c:pt idx="33">
                  <c:v>5.625</c:v>
                </c:pt>
                <c:pt idx="34">
                  <c:v>5.625</c:v>
                </c:pt>
                <c:pt idx="35">
                  <c:v>5.625</c:v>
                </c:pt>
                <c:pt idx="36">
                  <c:v>5.625</c:v>
                </c:pt>
                <c:pt idx="37">
                  <c:v>5.625</c:v>
                </c:pt>
                <c:pt idx="38">
                  <c:v>5.625</c:v>
                </c:pt>
                <c:pt idx="39">
                  <c:v>5.625</c:v>
                </c:pt>
                <c:pt idx="40">
                  <c:v>5.625</c:v>
                </c:pt>
                <c:pt idx="41">
                  <c:v>5.625</c:v>
                </c:pt>
                <c:pt idx="42">
                  <c:v>5.625</c:v>
                </c:pt>
                <c:pt idx="43">
                  <c:v>5.625</c:v>
                </c:pt>
                <c:pt idx="44">
                  <c:v>5.625</c:v>
                </c:pt>
                <c:pt idx="45">
                  <c:v>5.625</c:v>
                </c:pt>
                <c:pt idx="46">
                  <c:v>5.625</c:v>
                </c:pt>
                <c:pt idx="47">
                  <c:v>5.625</c:v>
                </c:pt>
                <c:pt idx="48">
                  <c:v>5.625</c:v>
                </c:pt>
                <c:pt idx="49">
                  <c:v>5.625</c:v>
                </c:pt>
                <c:pt idx="50">
                  <c:v>5.625</c:v>
                </c:pt>
                <c:pt idx="51">
                  <c:v>5.625</c:v>
                </c:pt>
                <c:pt idx="52">
                  <c:v>5.625</c:v>
                </c:pt>
                <c:pt idx="53">
                  <c:v>5.625</c:v>
                </c:pt>
                <c:pt idx="54">
                  <c:v>5.625</c:v>
                </c:pt>
                <c:pt idx="55">
                  <c:v>5.625</c:v>
                </c:pt>
                <c:pt idx="56">
                  <c:v>5.625</c:v>
                </c:pt>
                <c:pt idx="57">
                  <c:v>5.625</c:v>
                </c:pt>
                <c:pt idx="58">
                  <c:v>5.625</c:v>
                </c:pt>
                <c:pt idx="59">
                  <c:v>5.625</c:v>
                </c:pt>
                <c:pt idx="60">
                  <c:v>5.625</c:v>
                </c:pt>
                <c:pt idx="61">
                  <c:v>5.625</c:v>
                </c:pt>
                <c:pt idx="62">
                  <c:v>5.625</c:v>
                </c:pt>
                <c:pt idx="63">
                  <c:v>5.625</c:v>
                </c:pt>
                <c:pt idx="64">
                  <c:v>5.625</c:v>
                </c:pt>
                <c:pt idx="65">
                  <c:v>5.625</c:v>
                </c:pt>
                <c:pt idx="66">
                  <c:v>5.625</c:v>
                </c:pt>
                <c:pt idx="67">
                  <c:v>5.625</c:v>
                </c:pt>
                <c:pt idx="68">
                  <c:v>5.625</c:v>
                </c:pt>
                <c:pt idx="69">
                  <c:v>5.625</c:v>
                </c:pt>
                <c:pt idx="70">
                  <c:v>5.625</c:v>
                </c:pt>
                <c:pt idx="71">
                  <c:v>5.625</c:v>
                </c:pt>
                <c:pt idx="72">
                  <c:v>5.625</c:v>
                </c:pt>
                <c:pt idx="73">
                  <c:v>5.625</c:v>
                </c:pt>
                <c:pt idx="74">
                  <c:v>5.625</c:v>
                </c:pt>
                <c:pt idx="75">
                  <c:v>5.625</c:v>
                </c:pt>
                <c:pt idx="76">
                  <c:v>5.625</c:v>
                </c:pt>
                <c:pt idx="77">
                  <c:v>5.625</c:v>
                </c:pt>
                <c:pt idx="78">
                  <c:v>5.625</c:v>
                </c:pt>
                <c:pt idx="79">
                  <c:v>5.625</c:v>
                </c:pt>
                <c:pt idx="80">
                  <c:v>5.625</c:v>
                </c:pt>
                <c:pt idx="81">
                  <c:v>5.625</c:v>
                </c:pt>
                <c:pt idx="82">
                  <c:v>5.625</c:v>
                </c:pt>
                <c:pt idx="83">
                  <c:v>5.625</c:v>
                </c:pt>
                <c:pt idx="84">
                  <c:v>5.625</c:v>
                </c:pt>
                <c:pt idx="85">
                  <c:v>5.625</c:v>
                </c:pt>
                <c:pt idx="86">
                  <c:v>5.625</c:v>
                </c:pt>
                <c:pt idx="87">
                  <c:v>5.625</c:v>
                </c:pt>
                <c:pt idx="88">
                  <c:v>5.625</c:v>
                </c:pt>
                <c:pt idx="89">
                  <c:v>5.625</c:v>
                </c:pt>
                <c:pt idx="90">
                  <c:v>5.625</c:v>
                </c:pt>
                <c:pt idx="91">
                  <c:v>5.625</c:v>
                </c:pt>
                <c:pt idx="92">
                  <c:v>5.625</c:v>
                </c:pt>
                <c:pt idx="93">
                  <c:v>5.625</c:v>
                </c:pt>
                <c:pt idx="94">
                  <c:v>5.625</c:v>
                </c:pt>
                <c:pt idx="95">
                  <c:v>5.625</c:v>
                </c:pt>
                <c:pt idx="96">
                  <c:v>5.625</c:v>
                </c:pt>
                <c:pt idx="97">
                  <c:v>5.625</c:v>
                </c:pt>
                <c:pt idx="98">
                  <c:v>5.625</c:v>
                </c:pt>
                <c:pt idx="99">
                  <c:v>5.625</c:v>
                </c:pt>
                <c:pt idx="100">
                  <c:v>5.625</c:v>
                </c:pt>
                <c:pt idx="101">
                  <c:v>5.625</c:v>
                </c:pt>
                <c:pt idx="102">
                  <c:v>5.625</c:v>
                </c:pt>
                <c:pt idx="103">
                  <c:v>5.625</c:v>
                </c:pt>
                <c:pt idx="104">
                  <c:v>5.625</c:v>
                </c:pt>
                <c:pt idx="105">
                  <c:v>5.625</c:v>
                </c:pt>
                <c:pt idx="106">
                  <c:v>5.625</c:v>
                </c:pt>
                <c:pt idx="107">
                  <c:v>5.625</c:v>
                </c:pt>
                <c:pt idx="108">
                  <c:v>5.625</c:v>
                </c:pt>
                <c:pt idx="109">
                  <c:v>5.625</c:v>
                </c:pt>
                <c:pt idx="110">
                  <c:v>5.625</c:v>
                </c:pt>
                <c:pt idx="111">
                  <c:v>5.625</c:v>
                </c:pt>
                <c:pt idx="112">
                  <c:v>5.625</c:v>
                </c:pt>
                <c:pt idx="113">
                  <c:v>5.625</c:v>
                </c:pt>
                <c:pt idx="114">
                  <c:v>5.625</c:v>
                </c:pt>
                <c:pt idx="115">
                  <c:v>5.625</c:v>
                </c:pt>
                <c:pt idx="116">
                  <c:v>5.625</c:v>
                </c:pt>
                <c:pt idx="117">
                  <c:v>5.625</c:v>
                </c:pt>
                <c:pt idx="118">
                  <c:v>5.625</c:v>
                </c:pt>
                <c:pt idx="119">
                  <c:v>5.625</c:v>
                </c:pt>
              </c:numCache>
            </c:numRef>
          </c:yVal>
          <c:smooth val="0"/>
        </c:ser>
        <c:axId val="31116584"/>
        <c:axId val="11613801"/>
      </c:scatterChart>
      <c:valAx>
        <c:axId val="31116584"/>
        <c:scaling>
          <c:orientation val="minMax"/>
        </c:scaling>
        <c:axPos val="b"/>
        <c:title>
          <c:tx>
            <c:rich>
              <a:bodyPr vert="horz" rot="0" anchor="ctr"/>
              <a:lstStyle/>
              <a:p>
                <a:pPr algn="ctr">
                  <a:defRPr/>
                </a:pPr>
                <a:r>
                  <a:rPr lang="en-US" cap="none" sz="1025" b="1" i="0" u="none" baseline="0">
                    <a:latin typeface="Arial"/>
                    <a:ea typeface="Arial"/>
                    <a:cs typeface="Arial"/>
                  </a:rPr>
                  <a:t>Temps (mois)</a:t>
                </a:r>
              </a:p>
            </c:rich>
          </c:tx>
          <c:layout>
            <c:manualLayout>
              <c:xMode val="factor"/>
              <c:yMode val="factor"/>
              <c:x val="-0.0095"/>
              <c:y val="0"/>
            </c:manualLayout>
          </c:layout>
          <c:overlay val="0"/>
          <c:spPr>
            <a:noFill/>
            <a:ln>
              <a:noFill/>
            </a:ln>
          </c:spPr>
        </c:title>
        <c:delete val="0"/>
        <c:numFmt formatCode="General" sourceLinked="1"/>
        <c:majorTickMark val="out"/>
        <c:minorTickMark val="none"/>
        <c:tickLblPos val="nextTo"/>
        <c:crossAx val="11613801"/>
        <c:crosses val="autoZero"/>
        <c:crossBetween val="midCat"/>
        <c:dispUnits/>
      </c:valAx>
      <c:valAx>
        <c:axId val="11613801"/>
        <c:scaling>
          <c:orientation val="minMax"/>
          <c:min val="0"/>
        </c:scaling>
        <c:axPos val="l"/>
        <c:title>
          <c:tx>
            <c:rich>
              <a:bodyPr vert="horz" rot="-5400000" anchor="ctr"/>
              <a:lstStyle/>
              <a:p>
                <a:pPr algn="ctr">
                  <a:defRPr/>
                </a:pPr>
                <a:r>
                  <a:rPr lang="en-US" cap="none" sz="1025" b="1" i="0" u="none" baseline="0">
                    <a:latin typeface="Arial"/>
                    <a:ea typeface="Arial"/>
                    <a:cs typeface="Arial"/>
                  </a:rPr>
                  <a:t>alimentation 10^6 l/jour</a:t>
                </a:r>
              </a:p>
            </c:rich>
          </c:tx>
          <c:layout/>
          <c:overlay val="0"/>
          <c:spPr>
            <a:noFill/>
            <a:ln>
              <a:noFill/>
            </a:ln>
          </c:spPr>
        </c:title>
        <c:majorGridlines/>
        <c:delete val="0"/>
        <c:numFmt formatCode="0" sourceLinked="0"/>
        <c:majorTickMark val="out"/>
        <c:minorTickMark val="none"/>
        <c:tickLblPos val="nextTo"/>
        <c:crossAx val="31116584"/>
        <c:crosses val="autoZero"/>
        <c:crossBetween val="midCat"/>
        <c:dispUnits/>
      </c:valAx>
      <c:spPr>
        <a:noFill/>
        <a:ln w="12700">
          <a:solidFill>
            <a:srgbClr val="808080"/>
          </a:solidFill>
        </a:ln>
      </c:spPr>
    </c:plotArea>
    <c:legend>
      <c:legendPos val="r"/>
      <c:layout>
        <c:manualLayout>
          <c:xMode val="edge"/>
          <c:yMode val="edge"/>
          <c:x val="0.58075"/>
          <c:y val="0.01475"/>
          <c:w val="0.41925"/>
          <c:h val="0.151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Surface du lac</a:t>
            </a:r>
          </a:p>
        </c:rich>
      </c:tx>
      <c:layout>
        <c:manualLayout>
          <c:xMode val="factor"/>
          <c:yMode val="factor"/>
          <c:x val="-0.194"/>
          <c:y val="-0.0035"/>
        </c:manualLayout>
      </c:layout>
      <c:spPr>
        <a:noFill/>
        <a:ln>
          <a:noFill/>
        </a:ln>
      </c:spPr>
    </c:title>
    <c:plotArea>
      <c:layout>
        <c:manualLayout>
          <c:xMode val="edge"/>
          <c:yMode val="edge"/>
          <c:x val="0.07125"/>
          <c:y val="0.13675"/>
          <c:w val="0.92875"/>
          <c:h val="0.7315"/>
        </c:manualLayout>
      </c:layout>
      <c:scatterChart>
        <c:scatterStyle val="lineMarker"/>
        <c:varyColors val="0"/>
        <c:ser>
          <c:idx val="0"/>
          <c:order val="0"/>
          <c:tx>
            <c:v>Surface simulée</c:v>
          </c:tx>
          <c:extLst>
            <c:ext xmlns:c14="http://schemas.microsoft.com/office/drawing/2007/8/2/chart" uri="{6F2FDCE9-48DA-4B69-8628-5D25D57E5C99}">
              <c14:invertSolidFillFmt>
                <c14:spPr>
                  <a:solidFill>
                    <a:srgbClr val="000000"/>
                  </a:solidFill>
                </c14:spPr>
              </c14:invertSolidFillFmt>
            </c:ext>
          </c:extLst>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simulation!$L$11:$L$130</c:f>
              <c:numCache>
                <c:ptCount val="120"/>
                <c:pt idx="0">
                  <c:v>100000</c:v>
                </c:pt>
                <c:pt idx="1">
                  <c:v>100000</c:v>
                </c:pt>
                <c:pt idx="2">
                  <c:v>100000</c:v>
                </c:pt>
                <c:pt idx="3">
                  <c:v>87856.4169540279</c:v>
                </c:pt>
                <c:pt idx="4">
                  <c:v>73739.40601876314</c:v>
                </c:pt>
                <c:pt idx="5">
                  <c:v>56180.51263561058</c:v>
                </c:pt>
                <c:pt idx="6">
                  <c:v>100000</c:v>
                </c:pt>
                <c:pt idx="7">
                  <c:v>100000</c:v>
                </c:pt>
                <c:pt idx="8">
                  <c:v>100000</c:v>
                </c:pt>
                <c:pt idx="9">
                  <c:v>100000</c:v>
                </c:pt>
                <c:pt idx="10">
                  <c:v>100000</c:v>
                </c:pt>
                <c:pt idx="11">
                  <c:v>100000</c:v>
                </c:pt>
                <c:pt idx="12">
                  <c:v>100000</c:v>
                </c:pt>
                <c:pt idx="13">
                  <c:v>100000</c:v>
                </c:pt>
                <c:pt idx="14">
                  <c:v>100000</c:v>
                </c:pt>
                <c:pt idx="15">
                  <c:v>100000</c:v>
                </c:pt>
                <c:pt idx="16">
                  <c:v>87856.4169540279</c:v>
                </c:pt>
                <c:pt idx="17">
                  <c:v>80612.16078991561</c:v>
                </c:pt>
                <c:pt idx="18">
                  <c:v>65547.82669861856</c:v>
                </c:pt>
                <c:pt idx="19">
                  <c:v>56177.331593020084</c:v>
                </c:pt>
                <c:pt idx="20">
                  <c:v>44891.731810124365</c:v>
                </c:pt>
                <c:pt idx="21">
                  <c:v>100000</c:v>
                </c:pt>
                <c:pt idx="22">
                  <c:v>100000</c:v>
                </c:pt>
                <c:pt idx="23">
                  <c:v>100000</c:v>
                </c:pt>
                <c:pt idx="24">
                  <c:v>100000</c:v>
                </c:pt>
                <c:pt idx="25">
                  <c:v>100000</c:v>
                </c:pt>
                <c:pt idx="26">
                  <c:v>100000</c:v>
                </c:pt>
                <c:pt idx="27">
                  <c:v>87856.4169540279</c:v>
                </c:pt>
                <c:pt idx="28">
                  <c:v>73739.40601876314</c:v>
                </c:pt>
                <c:pt idx="29">
                  <c:v>56180.51263561058</c:v>
                </c:pt>
                <c:pt idx="30">
                  <c:v>44895.71249016993</c:v>
                </c:pt>
                <c:pt idx="31">
                  <c:v>68082.03608763886</c:v>
                </c:pt>
                <c:pt idx="32">
                  <c:v>68681.21131014427</c:v>
                </c:pt>
                <c:pt idx="33">
                  <c:v>100000</c:v>
                </c:pt>
                <c:pt idx="34">
                  <c:v>100000</c:v>
                </c:pt>
                <c:pt idx="35">
                  <c:v>100000</c:v>
                </c:pt>
                <c:pt idx="36">
                  <c:v>100000</c:v>
                </c:pt>
                <c:pt idx="37">
                  <c:v>100000</c:v>
                </c:pt>
                <c:pt idx="38">
                  <c:v>100000</c:v>
                </c:pt>
                <c:pt idx="39">
                  <c:v>92284.5988585708</c:v>
                </c:pt>
                <c:pt idx="40">
                  <c:v>78963.26479121367</c:v>
                </c:pt>
                <c:pt idx="41">
                  <c:v>99019.02672570829</c:v>
                </c:pt>
                <c:pt idx="42">
                  <c:v>86738.2133416785</c:v>
                </c:pt>
                <c:pt idx="43">
                  <c:v>72403.50581088275</c:v>
                </c:pt>
                <c:pt idx="44">
                  <c:v>55349.686565478056</c:v>
                </c:pt>
                <c:pt idx="45">
                  <c:v>57966.68346423068</c:v>
                </c:pt>
                <c:pt idx="46">
                  <c:v>100000</c:v>
                </c:pt>
                <c:pt idx="47">
                  <c:v>100000</c:v>
                </c:pt>
                <c:pt idx="48">
                  <c:v>100000</c:v>
                </c:pt>
                <c:pt idx="49">
                  <c:v>100000</c:v>
                </c:pt>
                <c:pt idx="50">
                  <c:v>100000</c:v>
                </c:pt>
                <c:pt idx="51">
                  <c:v>100000</c:v>
                </c:pt>
                <c:pt idx="52">
                  <c:v>87856.4169540279</c:v>
                </c:pt>
                <c:pt idx="53">
                  <c:v>73739.40601876314</c:v>
                </c:pt>
                <c:pt idx="54">
                  <c:v>56180.51263561058</c:v>
                </c:pt>
                <c:pt idx="55">
                  <c:v>89419.1737707219</c:v>
                </c:pt>
                <c:pt idx="56">
                  <c:v>95326.32787970324</c:v>
                </c:pt>
                <c:pt idx="57">
                  <c:v>100000</c:v>
                </c:pt>
                <c:pt idx="58">
                  <c:v>100000</c:v>
                </c:pt>
                <c:pt idx="59">
                  <c:v>100000</c:v>
                </c:pt>
                <c:pt idx="60">
                  <c:v>100000</c:v>
                </c:pt>
                <c:pt idx="61">
                  <c:v>87856.4169540279</c:v>
                </c:pt>
                <c:pt idx="62">
                  <c:v>73739.40601876314</c:v>
                </c:pt>
                <c:pt idx="63">
                  <c:v>88791.59412065608</c:v>
                </c:pt>
                <c:pt idx="64">
                  <c:v>96470.78961773579</c:v>
                </c:pt>
                <c:pt idx="65">
                  <c:v>83817.44000784944</c:v>
                </c:pt>
                <c:pt idx="66">
                  <c:v>84932.68138450808</c:v>
                </c:pt>
                <c:pt idx="67">
                  <c:v>88048.13459126164</c:v>
                </c:pt>
                <c:pt idx="68">
                  <c:v>100000</c:v>
                </c:pt>
                <c:pt idx="69">
                  <c:v>95004.86087009261</c:v>
                </c:pt>
                <c:pt idx="70">
                  <c:v>87846.45197449492</c:v>
                </c:pt>
                <c:pt idx="71">
                  <c:v>100000</c:v>
                </c:pt>
                <c:pt idx="72">
                  <c:v>100000</c:v>
                </c:pt>
                <c:pt idx="73">
                  <c:v>100000</c:v>
                </c:pt>
                <c:pt idx="74">
                  <c:v>100000</c:v>
                </c:pt>
                <c:pt idx="75">
                  <c:v>100000</c:v>
                </c:pt>
                <c:pt idx="76">
                  <c:v>87856.4169540279</c:v>
                </c:pt>
                <c:pt idx="77">
                  <c:v>73739.40601876314</c:v>
                </c:pt>
                <c:pt idx="78">
                  <c:v>56180.51263561058</c:v>
                </c:pt>
                <c:pt idx="79">
                  <c:v>62014.422821135406</c:v>
                </c:pt>
                <c:pt idx="80">
                  <c:v>95591.49432365145</c:v>
                </c:pt>
                <c:pt idx="81">
                  <c:v>100000</c:v>
                </c:pt>
                <c:pt idx="82">
                  <c:v>100000</c:v>
                </c:pt>
                <c:pt idx="83">
                  <c:v>100000</c:v>
                </c:pt>
                <c:pt idx="84">
                  <c:v>100000</c:v>
                </c:pt>
                <c:pt idx="85">
                  <c:v>100000</c:v>
                </c:pt>
                <c:pt idx="86">
                  <c:v>100000</c:v>
                </c:pt>
                <c:pt idx="87">
                  <c:v>87856.4169540279</c:v>
                </c:pt>
                <c:pt idx="88">
                  <c:v>73739.40601876314</c:v>
                </c:pt>
                <c:pt idx="89">
                  <c:v>56180.51263561058</c:v>
                </c:pt>
                <c:pt idx="90">
                  <c:v>44895.71249016993</c:v>
                </c:pt>
                <c:pt idx="91">
                  <c:v>29580.39891549808</c:v>
                </c:pt>
                <c:pt idx="92">
                  <c:v>46287.90499893172</c:v>
                </c:pt>
                <c:pt idx="93">
                  <c:v>39103.947858698106</c:v>
                </c:pt>
                <c:pt idx="94">
                  <c:v>55052.8770701166</c:v>
                </c:pt>
                <c:pt idx="95">
                  <c:v>69985.65775470277</c:v>
                </c:pt>
                <c:pt idx="96">
                  <c:v>87043.36174654092</c:v>
                </c:pt>
                <c:pt idx="97">
                  <c:v>100000</c:v>
                </c:pt>
                <c:pt idx="98">
                  <c:v>87856.4169540279</c:v>
                </c:pt>
                <c:pt idx="99">
                  <c:v>73739.40601876314</c:v>
                </c:pt>
                <c:pt idx="100">
                  <c:v>65422.978096247745</c:v>
                </c:pt>
                <c:pt idx="101">
                  <c:v>56031.60771370132</c:v>
                </c:pt>
                <c:pt idx="102">
                  <c:v>66093.59409712139</c:v>
                </c:pt>
                <c:pt idx="103">
                  <c:v>99437.92947619935</c:v>
                </c:pt>
                <c:pt idx="104">
                  <c:v>87216.12132234266</c:v>
                </c:pt>
                <c:pt idx="105">
                  <c:v>100000</c:v>
                </c:pt>
                <c:pt idx="106">
                  <c:v>100000</c:v>
                </c:pt>
                <c:pt idx="107">
                  <c:v>100000</c:v>
                </c:pt>
                <c:pt idx="108">
                  <c:v>87856.4169540279</c:v>
                </c:pt>
                <c:pt idx="109">
                  <c:v>100000</c:v>
                </c:pt>
                <c:pt idx="110">
                  <c:v>100000</c:v>
                </c:pt>
                <c:pt idx="111">
                  <c:v>87856.4169540279</c:v>
                </c:pt>
                <c:pt idx="112">
                  <c:v>86437.35340107373</c:v>
                </c:pt>
                <c:pt idx="113">
                  <c:v>76098.53172171801</c:v>
                </c:pt>
                <c:pt idx="114">
                  <c:v>68550.59188580539</c:v>
                </c:pt>
                <c:pt idx="115">
                  <c:v>59653.65577979481</c:v>
                </c:pt>
                <c:pt idx="116">
                  <c:v>64656.81555013651</c:v>
                </c:pt>
                <c:pt idx="117">
                  <c:v>88640.0157154207</c:v>
                </c:pt>
                <c:pt idx="118">
                  <c:v>100000</c:v>
                </c:pt>
                <c:pt idx="119">
                  <c:v>100000</c:v>
                </c:pt>
              </c:numCache>
            </c:numRef>
          </c:yVal>
          <c:smooth val="0"/>
        </c:ser>
        <c:ser>
          <c:idx val="1"/>
          <c:order val="1"/>
          <c:tx>
            <c:v>Surface objective</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simulation!$P$11:$P$130</c:f>
              <c:numCache>
                <c:ptCount val="120"/>
                <c:pt idx="0">
                  <c:v>75000</c:v>
                </c:pt>
                <c:pt idx="1">
                  <c:v>75000</c:v>
                </c:pt>
                <c:pt idx="2">
                  <c:v>75000</c:v>
                </c:pt>
                <c:pt idx="3">
                  <c:v>75000</c:v>
                </c:pt>
                <c:pt idx="4">
                  <c:v>75000</c:v>
                </c:pt>
                <c:pt idx="5">
                  <c:v>75000</c:v>
                </c:pt>
                <c:pt idx="6">
                  <c:v>75000</c:v>
                </c:pt>
                <c:pt idx="7">
                  <c:v>75000</c:v>
                </c:pt>
                <c:pt idx="8">
                  <c:v>75000</c:v>
                </c:pt>
                <c:pt idx="9">
                  <c:v>75000</c:v>
                </c:pt>
                <c:pt idx="10">
                  <c:v>75000</c:v>
                </c:pt>
                <c:pt idx="11">
                  <c:v>75000</c:v>
                </c:pt>
                <c:pt idx="12">
                  <c:v>75000</c:v>
                </c:pt>
                <c:pt idx="13">
                  <c:v>75000</c:v>
                </c:pt>
                <c:pt idx="14">
                  <c:v>75000</c:v>
                </c:pt>
                <c:pt idx="15">
                  <c:v>75000</c:v>
                </c:pt>
                <c:pt idx="16">
                  <c:v>75000</c:v>
                </c:pt>
                <c:pt idx="17">
                  <c:v>75000</c:v>
                </c:pt>
                <c:pt idx="18">
                  <c:v>75000</c:v>
                </c:pt>
                <c:pt idx="19">
                  <c:v>75000</c:v>
                </c:pt>
                <c:pt idx="20">
                  <c:v>75000</c:v>
                </c:pt>
                <c:pt idx="21">
                  <c:v>75000</c:v>
                </c:pt>
                <c:pt idx="22">
                  <c:v>75000</c:v>
                </c:pt>
                <c:pt idx="23">
                  <c:v>75000</c:v>
                </c:pt>
                <c:pt idx="24">
                  <c:v>75000</c:v>
                </c:pt>
                <c:pt idx="25">
                  <c:v>75000</c:v>
                </c:pt>
                <c:pt idx="26">
                  <c:v>75000</c:v>
                </c:pt>
                <c:pt idx="27">
                  <c:v>75000</c:v>
                </c:pt>
                <c:pt idx="28">
                  <c:v>75000</c:v>
                </c:pt>
                <c:pt idx="29">
                  <c:v>75000</c:v>
                </c:pt>
                <c:pt idx="30">
                  <c:v>75000</c:v>
                </c:pt>
                <c:pt idx="31">
                  <c:v>75000</c:v>
                </c:pt>
                <c:pt idx="32">
                  <c:v>75000</c:v>
                </c:pt>
                <c:pt idx="33">
                  <c:v>75000</c:v>
                </c:pt>
                <c:pt idx="34">
                  <c:v>75000</c:v>
                </c:pt>
                <c:pt idx="35">
                  <c:v>75000</c:v>
                </c:pt>
                <c:pt idx="36">
                  <c:v>75000</c:v>
                </c:pt>
                <c:pt idx="37">
                  <c:v>75000</c:v>
                </c:pt>
                <c:pt idx="38">
                  <c:v>75000</c:v>
                </c:pt>
                <c:pt idx="39">
                  <c:v>75000</c:v>
                </c:pt>
                <c:pt idx="40">
                  <c:v>75000</c:v>
                </c:pt>
                <c:pt idx="41">
                  <c:v>75000</c:v>
                </c:pt>
                <c:pt idx="42">
                  <c:v>75000</c:v>
                </c:pt>
                <c:pt idx="43">
                  <c:v>75000</c:v>
                </c:pt>
                <c:pt idx="44">
                  <c:v>75000</c:v>
                </c:pt>
                <c:pt idx="45">
                  <c:v>75000</c:v>
                </c:pt>
                <c:pt idx="46">
                  <c:v>75000</c:v>
                </c:pt>
                <c:pt idx="47">
                  <c:v>75000</c:v>
                </c:pt>
                <c:pt idx="48">
                  <c:v>75000</c:v>
                </c:pt>
                <c:pt idx="49">
                  <c:v>75000</c:v>
                </c:pt>
                <c:pt idx="50">
                  <c:v>75000</c:v>
                </c:pt>
                <c:pt idx="51">
                  <c:v>75000</c:v>
                </c:pt>
                <c:pt idx="52">
                  <c:v>75000</c:v>
                </c:pt>
                <c:pt idx="53">
                  <c:v>75000</c:v>
                </c:pt>
                <c:pt idx="54">
                  <c:v>75000</c:v>
                </c:pt>
                <c:pt idx="55">
                  <c:v>75000</c:v>
                </c:pt>
                <c:pt idx="56">
                  <c:v>75000</c:v>
                </c:pt>
                <c:pt idx="57">
                  <c:v>75000</c:v>
                </c:pt>
                <c:pt idx="58">
                  <c:v>75000</c:v>
                </c:pt>
                <c:pt idx="59">
                  <c:v>75000</c:v>
                </c:pt>
                <c:pt idx="60">
                  <c:v>75000</c:v>
                </c:pt>
                <c:pt idx="61">
                  <c:v>75000</c:v>
                </c:pt>
                <c:pt idx="62">
                  <c:v>75000</c:v>
                </c:pt>
                <c:pt idx="63">
                  <c:v>75000</c:v>
                </c:pt>
                <c:pt idx="64">
                  <c:v>75000</c:v>
                </c:pt>
                <c:pt idx="65">
                  <c:v>75000</c:v>
                </c:pt>
                <c:pt idx="66">
                  <c:v>75000</c:v>
                </c:pt>
                <c:pt idx="67">
                  <c:v>75000</c:v>
                </c:pt>
                <c:pt idx="68">
                  <c:v>75000</c:v>
                </c:pt>
                <c:pt idx="69">
                  <c:v>75000</c:v>
                </c:pt>
                <c:pt idx="70">
                  <c:v>75000</c:v>
                </c:pt>
                <c:pt idx="71">
                  <c:v>75000</c:v>
                </c:pt>
                <c:pt idx="72">
                  <c:v>75000</c:v>
                </c:pt>
                <c:pt idx="73">
                  <c:v>75000</c:v>
                </c:pt>
                <c:pt idx="74">
                  <c:v>75000</c:v>
                </c:pt>
                <c:pt idx="75">
                  <c:v>75000</c:v>
                </c:pt>
                <c:pt idx="76">
                  <c:v>75000</c:v>
                </c:pt>
                <c:pt idx="77">
                  <c:v>75000</c:v>
                </c:pt>
                <c:pt idx="78">
                  <c:v>75000</c:v>
                </c:pt>
                <c:pt idx="79">
                  <c:v>75000</c:v>
                </c:pt>
                <c:pt idx="80">
                  <c:v>75000</c:v>
                </c:pt>
                <c:pt idx="81">
                  <c:v>75000</c:v>
                </c:pt>
                <c:pt idx="82">
                  <c:v>75000</c:v>
                </c:pt>
                <c:pt idx="83">
                  <c:v>75000</c:v>
                </c:pt>
                <c:pt idx="84">
                  <c:v>75000</c:v>
                </c:pt>
                <c:pt idx="85">
                  <c:v>75000</c:v>
                </c:pt>
                <c:pt idx="86">
                  <c:v>75000</c:v>
                </c:pt>
                <c:pt idx="87">
                  <c:v>75000</c:v>
                </c:pt>
                <c:pt idx="88">
                  <c:v>75000</c:v>
                </c:pt>
                <c:pt idx="89">
                  <c:v>75000</c:v>
                </c:pt>
                <c:pt idx="90">
                  <c:v>75000</c:v>
                </c:pt>
                <c:pt idx="91">
                  <c:v>75000</c:v>
                </c:pt>
                <c:pt idx="92">
                  <c:v>75000</c:v>
                </c:pt>
                <c:pt idx="93">
                  <c:v>75000</c:v>
                </c:pt>
                <c:pt idx="94">
                  <c:v>75000</c:v>
                </c:pt>
                <c:pt idx="95">
                  <c:v>75000</c:v>
                </c:pt>
                <c:pt idx="96">
                  <c:v>75000</c:v>
                </c:pt>
                <c:pt idx="97">
                  <c:v>75000</c:v>
                </c:pt>
                <c:pt idx="98">
                  <c:v>75000</c:v>
                </c:pt>
                <c:pt idx="99">
                  <c:v>75000</c:v>
                </c:pt>
                <c:pt idx="100">
                  <c:v>75000</c:v>
                </c:pt>
                <c:pt idx="101">
                  <c:v>75000</c:v>
                </c:pt>
                <c:pt idx="102">
                  <c:v>75000</c:v>
                </c:pt>
                <c:pt idx="103">
                  <c:v>75000</c:v>
                </c:pt>
                <c:pt idx="104">
                  <c:v>75000</c:v>
                </c:pt>
                <c:pt idx="105">
                  <c:v>75000</c:v>
                </c:pt>
                <c:pt idx="106">
                  <c:v>75000</c:v>
                </c:pt>
                <c:pt idx="107">
                  <c:v>75000</c:v>
                </c:pt>
                <c:pt idx="108">
                  <c:v>75000</c:v>
                </c:pt>
                <c:pt idx="109">
                  <c:v>75000</c:v>
                </c:pt>
                <c:pt idx="110">
                  <c:v>75000</c:v>
                </c:pt>
                <c:pt idx="111">
                  <c:v>75000</c:v>
                </c:pt>
                <c:pt idx="112">
                  <c:v>75000</c:v>
                </c:pt>
                <c:pt idx="113">
                  <c:v>75000</c:v>
                </c:pt>
                <c:pt idx="114">
                  <c:v>75000</c:v>
                </c:pt>
                <c:pt idx="115">
                  <c:v>75000</c:v>
                </c:pt>
                <c:pt idx="116">
                  <c:v>75000</c:v>
                </c:pt>
                <c:pt idx="117">
                  <c:v>75000</c:v>
                </c:pt>
                <c:pt idx="118">
                  <c:v>75000</c:v>
                </c:pt>
                <c:pt idx="119">
                  <c:v>75000</c:v>
                </c:pt>
              </c:numCache>
            </c:numRef>
          </c:yVal>
          <c:smooth val="0"/>
        </c:ser>
        <c:axId val="37415346"/>
        <c:axId val="1193795"/>
      </c:scatterChart>
      <c:valAx>
        <c:axId val="37415346"/>
        <c:scaling>
          <c:orientation val="minMax"/>
        </c:scaling>
        <c:axPos val="b"/>
        <c:title>
          <c:tx>
            <c:rich>
              <a:bodyPr vert="horz" rot="0" anchor="ctr"/>
              <a:lstStyle/>
              <a:p>
                <a:pPr algn="ctr">
                  <a:defRPr/>
                </a:pPr>
                <a:r>
                  <a:rPr lang="en-US" cap="none" sz="1100" b="1" i="0" u="none" baseline="0">
                    <a:latin typeface="Arial"/>
                    <a:ea typeface="Arial"/>
                    <a:cs typeface="Arial"/>
                  </a:rPr>
                  <a:t>Temps mois</a:t>
                </a:r>
              </a:p>
            </c:rich>
          </c:tx>
          <c:layout/>
          <c:overlay val="0"/>
          <c:spPr>
            <a:noFill/>
            <a:ln>
              <a:noFill/>
            </a:ln>
          </c:spPr>
        </c:title>
        <c:delete val="0"/>
        <c:numFmt formatCode="General" sourceLinked="1"/>
        <c:majorTickMark val="out"/>
        <c:minorTickMark val="none"/>
        <c:tickLblPos val="nextTo"/>
        <c:crossAx val="1193795"/>
        <c:crosses val="autoZero"/>
        <c:crossBetween val="midCat"/>
        <c:dispUnits/>
      </c:valAx>
      <c:valAx>
        <c:axId val="1193795"/>
        <c:scaling>
          <c:orientation val="minMax"/>
        </c:scaling>
        <c:axPos val="l"/>
        <c:title>
          <c:tx>
            <c:rich>
              <a:bodyPr vert="horz" rot="-5400000" anchor="ctr"/>
              <a:lstStyle/>
              <a:p>
                <a:pPr algn="ctr">
                  <a:defRPr/>
                </a:pPr>
                <a:r>
                  <a:rPr lang="en-US" cap="none" sz="1100" b="1" i="0" u="none" baseline="0">
                    <a:latin typeface="Arial"/>
                    <a:ea typeface="Arial"/>
                    <a:cs typeface="Arial"/>
                  </a:rPr>
                  <a:t>Surface (m2)</a:t>
                </a:r>
              </a:p>
            </c:rich>
          </c:tx>
          <c:layout/>
          <c:overlay val="0"/>
          <c:spPr>
            <a:noFill/>
            <a:ln>
              <a:noFill/>
            </a:ln>
          </c:spPr>
        </c:title>
        <c:majorGridlines/>
        <c:delete val="0"/>
        <c:numFmt formatCode="General" sourceLinked="1"/>
        <c:majorTickMark val="out"/>
        <c:minorTickMark val="none"/>
        <c:tickLblPos val="nextTo"/>
        <c:crossAx val="37415346"/>
        <c:crosses val="autoZero"/>
        <c:crossBetween val="midCat"/>
        <c:dispUnits/>
      </c:valAx>
      <c:spPr>
        <a:noFill/>
        <a:ln w="12700">
          <a:solidFill>
            <a:srgbClr val="808080"/>
          </a:solidFill>
        </a:ln>
      </c:spPr>
    </c:plotArea>
    <c:legend>
      <c:legendPos val="r"/>
      <c:layout>
        <c:manualLayout>
          <c:xMode val="edge"/>
          <c:yMode val="edge"/>
          <c:x val="0.754"/>
          <c:y val="0.00725"/>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Profondeur du lac</a:t>
            </a:r>
          </a:p>
        </c:rich>
      </c:tx>
      <c:layout>
        <c:manualLayout>
          <c:xMode val="factor"/>
          <c:yMode val="factor"/>
          <c:x val="-0.209"/>
          <c:y val="-0.01075"/>
        </c:manualLayout>
      </c:layout>
      <c:spPr>
        <a:noFill/>
        <a:ln>
          <a:noFill/>
        </a:ln>
      </c:spPr>
    </c:title>
    <c:plotArea>
      <c:layout>
        <c:manualLayout>
          <c:xMode val="edge"/>
          <c:yMode val="edge"/>
          <c:x val="0.06975"/>
          <c:y val="0.137"/>
          <c:w val="0.93025"/>
          <c:h val="0.7385"/>
        </c:manualLayout>
      </c:layout>
      <c:scatterChart>
        <c:scatterStyle val="lineMarker"/>
        <c:varyColors val="0"/>
        <c:ser>
          <c:idx val="0"/>
          <c:order val="0"/>
          <c:tx>
            <c:v>Profondeur simulée</c:v>
          </c:tx>
          <c:extLst>
            <c:ext xmlns:c14="http://schemas.microsoft.com/office/drawing/2007/8/2/chart" uri="{6F2FDCE9-48DA-4B69-8628-5D25D57E5C99}">
              <c14:invertSolidFillFmt>
                <c14:spPr>
                  <a:solidFill>
                    <a:srgbClr val="000000"/>
                  </a:solidFill>
                </c14:spPr>
              </c14:invertSolidFillFmt>
            </c:ext>
          </c:extLst>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simulation!$R$11:$R$130</c:f>
              <c:numCache>
                <c:ptCount val="120"/>
                <c:pt idx="0">
                  <c:v>20</c:v>
                </c:pt>
                <c:pt idx="1">
                  <c:v>20</c:v>
                </c:pt>
                <c:pt idx="2">
                  <c:v>20</c:v>
                </c:pt>
                <c:pt idx="3">
                  <c:v>17.57128339080558</c:v>
                </c:pt>
                <c:pt idx="4">
                  <c:v>14.747881203752625</c:v>
                </c:pt>
                <c:pt idx="5">
                  <c:v>11.236102527122116</c:v>
                </c:pt>
                <c:pt idx="6">
                  <c:v>20</c:v>
                </c:pt>
                <c:pt idx="7">
                  <c:v>20</c:v>
                </c:pt>
                <c:pt idx="8">
                  <c:v>20</c:v>
                </c:pt>
                <c:pt idx="9">
                  <c:v>20</c:v>
                </c:pt>
                <c:pt idx="10">
                  <c:v>20</c:v>
                </c:pt>
                <c:pt idx="11">
                  <c:v>20</c:v>
                </c:pt>
                <c:pt idx="12">
                  <c:v>20</c:v>
                </c:pt>
                <c:pt idx="13">
                  <c:v>20</c:v>
                </c:pt>
                <c:pt idx="14">
                  <c:v>20</c:v>
                </c:pt>
                <c:pt idx="15">
                  <c:v>20</c:v>
                </c:pt>
                <c:pt idx="16">
                  <c:v>17.57128339080558</c:v>
                </c:pt>
                <c:pt idx="17">
                  <c:v>16.12243215798312</c:v>
                </c:pt>
                <c:pt idx="18">
                  <c:v>13.109565339723712</c:v>
                </c:pt>
                <c:pt idx="19">
                  <c:v>11.235466318604017</c:v>
                </c:pt>
                <c:pt idx="20">
                  <c:v>8.978346362024872</c:v>
                </c:pt>
                <c:pt idx="21">
                  <c:v>20</c:v>
                </c:pt>
                <c:pt idx="22">
                  <c:v>20</c:v>
                </c:pt>
                <c:pt idx="23">
                  <c:v>20</c:v>
                </c:pt>
                <c:pt idx="24">
                  <c:v>20</c:v>
                </c:pt>
                <c:pt idx="25">
                  <c:v>20</c:v>
                </c:pt>
                <c:pt idx="26">
                  <c:v>20</c:v>
                </c:pt>
                <c:pt idx="27">
                  <c:v>17.57128339080558</c:v>
                </c:pt>
                <c:pt idx="28">
                  <c:v>14.747881203752625</c:v>
                </c:pt>
                <c:pt idx="29">
                  <c:v>11.236102527122116</c:v>
                </c:pt>
                <c:pt idx="30">
                  <c:v>8.979142498033985</c:v>
                </c:pt>
                <c:pt idx="31">
                  <c:v>13.61640721752777</c:v>
                </c:pt>
                <c:pt idx="32">
                  <c:v>13.736242262028853</c:v>
                </c:pt>
                <c:pt idx="33">
                  <c:v>20</c:v>
                </c:pt>
                <c:pt idx="34">
                  <c:v>20</c:v>
                </c:pt>
                <c:pt idx="35">
                  <c:v>20</c:v>
                </c:pt>
                <c:pt idx="36">
                  <c:v>20</c:v>
                </c:pt>
                <c:pt idx="37">
                  <c:v>20</c:v>
                </c:pt>
                <c:pt idx="38">
                  <c:v>20</c:v>
                </c:pt>
                <c:pt idx="39">
                  <c:v>18.45691977171416</c:v>
                </c:pt>
                <c:pt idx="40">
                  <c:v>15.792652958242737</c:v>
                </c:pt>
                <c:pt idx="41">
                  <c:v>19.803805345141658</c:v>
                </c:pt>
                <c:pt idx="42">
                  <c:v>17.3476426683357</c:v>
                </c:pt>
                <c:pt idx="43">
                  <c:v>14.48070116217655</c:v>
                </c:pt>
                <c:pt idx="44">
                  <c:v>11.069937313095611</c:v>
                </c:pt>
                <c:pt idx="45">
                  <c:v>11.593336692846135</c:v>
                </c:pt>
                <c:pt idx="46">
                  <c:v>20</c:v>
                </c:pt>
                <c:pt idx="47">
                  <c:v>20</c:v>
                </c:pt>
                <c:pt idx="48">
                  <c:v>20</c:v>
                </c:pt>
                <c:pt idx="49">
                  <c:v>20</c:v>
                </c:pt>
                <c:pt idx="50">
                  <c:v>20</c:v>
                </c:pt>
                <c:pt idx="51">
                  <c:v>20</c:v>
                </c:pt>
                <c:pt idx="52">
                  <c:v>17.57128339080558</c:v>
                </c:pt>
                <c:pt idx="53">
                  <c:v>14.747881203752625</c:v>
                </c:pt>
                <c:pt idx="54">
                  <c:v>11.236102527122116</c:v>
                </c:pt>
                <c:pt idx="55">
                  <c:v>17.88383475414438</c:v>
                </c:pt>
                <c:pt idx="56">
                  <c:v>19.065265575940646</c:v>
                </c:pt>
                <c:pt idx="57">
                  <c:v>20</c:v>
                </c:pt>
                <c:pt idx="58">
                  <c:v>20</c:v>
                </c:pt>
                <c:pt idx="59">
                  <c:v>20</c:v>
                </c:pt>
                <c:pt idx="60">
                  <c:v>20</c:v>
                </c:pt>
                <c:pt idx="61">
                  <c:v>17.57128339080558</c:v>
                </c:pt>
                <c:pt idx="62">
                  <c:v>14.747881203752625</c:v>
                </c:pt>
                <c:pt idx="63">
                  <c:v>17.758318824131216</c:v>
                </c:pt>
                <c:pt idx="64">
                  <c:v>19.294157923547157</c:v>
                </c:pt>
                <c:pt idx="65">
                  <c:v>16.763488001569886</c:v>
                </c:pt>
                <c:pt idx="66">
                  <c:v>16.986536276901617</c:v>
                </c:pt>
                <c:pt idx="67">
                  <c:v>17.609626918252328</c:v>
                </c:pt>
                <c:pt idx="68">
                  <c:v>20</c:v>
                </c:pt>
                <c:pt idx="69">
                  <c:v>19.00097217401852</c:v>
                </c:pt>
                <c:pt idx="70">
                  <c:v>17.569290394898985</c:v>
                </c:pt>
                <c:pt idx="71">
                  <c:v>20</c:v>
                </c:pt>
                <c:pt idx="72">
                  <c:v>20</c:v>
                </c:pt>
                <c:pt idx="73">
                  <c:v>20</c:v>
                </c:pt>
                <c:pt idx="74">
                  <c:v>20</c:v>
                </c:pt>
                <c:pt idx="75">
                  <c:v>20</c:v>
                </c:pt>
                <c:pt idx="76">
                  <c:v>17.57128339080558</c:v>
                </c:pt>
                <c:pt idx="77">
                  <c:v>14.747881203752625</c:v>
                </c:pt>
                <c:pt idx="78">
                  <c:v>11.236102527122116</c:v>
                </c:pt>
                <c:pt idx="79">
                  <c:v>12.402884564227081</c:v>
                </c:pt>
                <c:pt idx="80">
                  <c:v>19.118298864730292</c:v>
                </c:pt>
                <c:pt idx="81">
                  <c:v>20</c:v>
                </c:pt>
                <c:pt idx="82">
                  <c:v>20</c:v>
                </c:pt>
                <c:pt idx="83">
                  <c:v>20</c:v>
                </c:pt>
                <c:pt idx="84">
                  <c:v>20</c:v>
                </c:pt>
                <c:pt idx="85">
                  <c:v>20</c:v>
                </c:pt>
                <c:pt idx="86">
                  <c:v>20</c:v>
                </c:pt>
                <c:pt idx="87">
                  <c:v>17.57128339080558</c:v>
                </c:pt>
                <c:pt idx="88">
                  <c:v>14.747881203752625</c:v>
                </c:pt>
                <c:pt idx="89">
                  <c:v>11.236102527122116</c:v>
                </c:pt>
                <c:pt idx="90">
                  <c:v>8.979142498033985</c:v>
                </c:pt>
                <c:pt idx="91">
                  <c:v>5.916079783099616</c:v>
                </c:pt>
                <c:pt idx="92">
                  <c:v>9.257580999786343</c:v>
                </c:pt>
                <c:pt idx="93">
                  <c:v>7.820789571739622</c:v>
                </c:pt>
                <c:pt idx="94">
                  <c:v>11.010575414023318</c:v>
                </c:pt>
                <c:pt idx="95">
                  <c:v>13.997131550940553</c:v>
                </c:pt>
                <c:pt idx="96">
                  <c:v>17.408672349308183</c:v>
                </c:pt>
                <c:pt idx="97">
                  <c:v>20</c:v>
                </c:pt>
                <c:pt idx="98">
                  <c:v>17.57128339080558</c:v>
                </c:pt>
                <c:pt idx="99">
                  <c:v>14.747881203752625</c:v>
                </c:pt>
                <c:pt idx="100">
                  <c:v>13.08459561924955</c:v>
                </c:pt>
                <c:pt idx="101">
                  <c:v>11.206321542740262</c:v>
                </c:pt>
                <c:pt idx="102">
                  <c:v>13.218718819424277</c:v>
                </c:pt>
                <c:pt idx="103">
                  <c:v>19.88758589523987</c:v>
                </c:pt>
                <c:pt idx="104">
                  <c:v>17.443224264468533</c:v>
                </c:pt>
                <c:pt idx="105">
                  <c:v>20</c:v>
                </c:pt>
                <c:pt idx="106">
                  <c:v>20</c:v>
                </c:pt>
                <c:pt idx="107">
                  <c:v>20</c:v>
                </c:pt>
                <c:pt idx="108">
                  <c:v>17.57128339080558</c:v>
                </c:pt>
                <c:pt idx="109">
                  <c:v>20</c:v>
                </c:pt>
                <c:pt idx="110">
                  <c:v>20</c:v>
                </c:pt>
                <c:pt idx="111">
                  <c:v>17.57128339080558</c:v>
                </c:pt>
                <c:pt idx="112">
                  <c:v>17.28747068021475</c:v>
                </c:pt>
                <c:pt idx="113">
                  <c:v>15.219706344343603</c:v>
                </c:pt>
                <c:pt idx="114">
                  <c:v>13.710118377161077</c:v>
                </c:pt>
                <c:pt idx="115">
                  <c:v>11.930731155958963</c:v>
                </c:pt>
                <c:pt idx="116">
                  <c:v>12.931363110027302</c:v>
                </c:pt>
                <c:pt idx="117">
                  <c:v>17.728003143084138</c:v>
                </c:pt>
                <c:pt idx="118">
                  <c:v>20</c:v>
                </c:pt>
                <c:pt idx="119">
                  <c:v>20</c:v>
                </c:pt>
              </c:numCache>
            </c:numRef>
          </c:yVal>
          <c:smooth val="0"/>
        </c:ser>
        <c:ser>
          <c:idx val="1"/>
          <c:order val="1"/>
          <c:tx>
            <c:v>Profondeur obj. min.</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simulation!$V$11:$V$130</c:f>
              <c:numCache>
                <c:ptCount val="120"/>
                <c:pt idx="0">
                  <c:v>15</c:v>
                </c:pt>
                <c:pt idx="1">
                  <c:v>15</c:v>
                </c:pt>
                <c:pt idx="2">
                  <c:v>15</c:v>
                </c:pt>
                <c:pt idx="3">
                  <c:v>15</c:v>
                </c:pt>
                <c:pt idx="4">
                  <c:v>15</c:v>
                </c:pt>
                <c:pt idx="5">
                  <c:v>15</c:v>
                </c:pt>
                <c:pt idx="6">
                  <c:v>15</c:v>
                </c:pt>
                <c:pt idx="7">
                  <c:v>15</c:v>
                </c:pt>
                <c:pt idx="8">
                  <c:v>15</c:v>
                </c:pt>
                <c:pt idx="9">
                  <c:v>15</c:v>
                </c:pt>
                <c:pt idx="10">
                  <c:v>15</c:v>
                </c:pt>
                <c:pt idx="11">
                  <c:v>15</c:v>
                </c:pt>
                <c:pt idx="12">
                  <c:v>15</c:v>
                </c:pt>
                <c:pt idx="13">
                  <c:v>15</c:v>
                </c:pt>
                <c:pt idx="14">
                  <c:v>15</c:v>
                </c:pt>
                <c:pt idx="15">
                  <c:v>15</c:v>
                </c:pt>
                <c:pt idx="16">
                  <c:v>15</c:v>
                </c:pt>
                <c:pt idx="17">
                  <c:v>15</c:v>
                </c:pt>
                <c:pt idx="18">
                  <c:v>15</c:v>
                </c:pt>
                <c:pt idx="19">
                  <c:v>15</c:v>
                </c:pt>
                <c:pt idx="20">
                  <c:v>15</c:v>
                </c:pt>
                <c:pt idx="21">
                  <c:v>15</c:v>
                </c:pt>
                <c:pt idx="22">
                  <c:v>15</c:v>
                </c:pt>
                <c:pt idx="23">
                  <c:v>15</c:v>
                </c:pt>
                <c:pt idx="24">
                  <c:v>15</c:v>
                </c:pt>
                <c:pt idx="25">
                  <c:v>15</c:v>
                </c:pt>
                <c:pt idx="26">
                  <c:v>15</c:v>
                </c:pt>
                <c:pt idx="27">
                  <c:v>15</c:v>
                </c:pt>
                <c:pt idx="28">
                  <c:v>15</c:v>
                </c:pt>
                <c:pt idx="29">
                  <c:v>15</c:v>
                </c:pt>
                <c:pt idx="30">
                  <c:v>15</c:v>
                </c:pt>
                <c:pt idx="31">
                  <c:v>15</c:v>
                </c:pt>
                <c:pt idx="32">
                  <c:v>15</c:v>
                </c:pt>
                <c:pt idx="33">
                  <c:v>15</c:v>
                </c:pt>
                <c:pt idx="34">
                  <c:v>15</c:v>
                </c:pt>
                <c:pt idx="35">
                  <c:v>15</c:v>
                </c:pt>
                <c:pt idx="36">
                  <c:v>15</c:v>
                </c:pt>
                <c:pt idx="37">
                  <c:v>15</c:v>
                </c:pt>
                <c:pt idx="38">
                  <c:v>15</c:v>
                </c:pt>
                <c:pt idx="39">
                  <c:v>15</c:v>
                </c:pt>
                <c:pt idx="40">
                  <c:v>15</c:v>
                </c:pt>
                <c:pt idx="41">
                  <c:v>15</c:v>
                </c:pt>
                <c:pt idx="42">
                  <c:v>15</c:v>
                </c:pt>
                <c:pt idx="43">
                  <c:v>15</c:v>
                </c:pt>
                <c:pt idx="44">
                  <c:v>15</c:v>
                </c:pt>
                <c:pt idx="45">
                  <c:v>15</c:v>
                </c:pt>
                <c:pt idx="46">
                  <c:v>15</c:v>
                </c:pt>
                <c:pt idx="47">
                  <c:v>15</c:v>
                </c:pt>
                <c:pt idx="48">
                  <c:v>15</c:v>
                </c:pt>
                <c:pt idx="49">
                  <c:v>15</c:v>
                </c:pt>
                <c:pt idx="50">
                  <c:v>15</c:v>
                </c:pt>
                <c:pt idx="51">
                  <c:v>15</c:v>
                </c:pt>
                <c:pt idx="52">
                  <c:v>15</c:v>
                </c:pt>
                <c:pt idx="53">
                  <c:v>15</c:v>
                </c:pt>
                <c:pt idx="54">
                  <c:v>15</c:v>
                </c:pt>
                <c:pt idx="55">
                  <c:v>15</c:v>
                </c:pt>
                <c:pt idx="56">
                  <c:v>15</c:v>
                </c:pt>
                <c:pt idx="57">
                  <c:v>15</c:v>
                </c:pt>
                <c:pt idx="58">
                  <c:v>15</c:v>
                </c:pt>
                <c:pt idx="59">
                  <c:v>15</c:v>
                </c:pt>
                <c:pt idx="60">
                  <c:v>15</c:v>
                </c:pt>
                <c:pt idx="61">
                  <c:v>15</c:v>
                </c:pt>
                <c:pt idx="62">
                  <c:v>15</c:v>
                </c:pt>
                <c:pt idx="63">
                  <c:v>15</c:v>
                </c:pt>
                <c:pt idx="64">
                  <c:v>15</c:v>
                </c:pt>
                <c:pt idx="65">
                  <c:v>15</c:v>
                </c:pt>
                <c:pt idx="66">
                  <c:v>15</c:v>
                </c:pt>
                <c:pt idx="67">
                  <c:v>15</c:v>
                </c:pt>
                <c:pt idx="68">
                  <c:v>15</c:v>
                </c:pt>
                <c:pt idx="69">
                  <c:v>15</c:v>
                </c:pt>
                <c:pt idx="70">
                  <c:v>15</c:v>
                </c:pt>
                <c:pt idx="71">
                  <c:v>15</c:v>
                </c:pt>
                <c:pt idx="72">
                  <c:v>15</c:v>
                </c:pt>
                <c:pt idx="73">
                  <c:v>15</c:v>
                </c:pt>
                <c:pt idx="74">
                  <c:v>15</c:v>
                </c:pt>
                <c:pt idx="75">
                  <c:v>15</c:v>
                </c:pt>
                <c:pt idx="76">
                  <c:v>15</c:v>
                </c:pt>
                <c:pt idx="77">
                  <c:v>15</c:v>
                </c:pt>
                <c:pt idx="78">
                  <c:v>15</c:v>
                </c:pt>
                <c:pt idx="79">
                  <c:v>15</c:v>
                </c:pt>
                <c:pt idx="80">
                  <c:v>15</c:v>
                </c:pt>
                <c:pt idx="81">
                  <c:v>15</c:v>
                </c:pt>
                <c:pt idx="82">
                  <c:v>15</c:v>
                </c:pt>
                <c:pt idx="83">
                  <c:v>15</c:v>
                </c:pt>
                <c:pt idx="84">
                  <c:v>15</c:v>
                </c:pt>
                <c:pt idx="85">
                  <c:v>15</c:v>
                </c:pt>
                <c:pt idx="86">
                  <c:v>15</c:v>
                </c:pt>
                <c:pt idx="87">
                  <c:v>15</c:v>
                </c:pt>
                <c:pt idx="88">
                  <c:v>15</c:v>
                </c:pt>
                <c:pt idx="89">
                  <c:v>15</c:v>
                </c:pt>
                <c:pt idx="90">
                  <c:v>15</c:v>
                </c:pt>
                <c:pt idx="91">
                  <c:v>15</c:v>
                </c:pt>
                <c:pt idx="92">
                  <c:v>15</c:v>
                </c:pt>
                <c:pt idx="93">
                  <c:v>15</c:v>
                </c:pt>
                <c:pt idx="94">
                  <c:v>15</c:v>
                </c:pt>
                <c:pt idx="95">
                  <c:v>15</c:v>
                </c:pt>
                <c:pt idx="96">
                  <c:v>15</c:v>
                </c:pt>
                <c:pt idx="97">
                  <c:v>15</c:v>
                </c:pt>
                <c:pt idx="98">
                  <c:v>15</c:v>
                </c:pt>
                <c:pt idx="99">
                  <c:v>15</c:v>
                </c:pt>
                <c:pt idx="100">
                  <c:v>15</c:v>
                </c:pt>
                <c:pt idx="101">
                  <c:v>15</c:v>
                </c:pt>
                <c:pt idx="102">
                  <c:v>15</c:v>
                </c:pt>
                <c:pt idx="103">
                  <c:v>15</c:v>
                </c:pt>
                <c:pt idx="104">
                  <c:v>15</c:v>
                </c:pt>
                <c:pt idx="105">
                  <c:v>15</c:v>
                </c:pt>
                <c:pt idx="106">
                  <c:v>15</c:v>
                </c:pt>
                <c:pt idx="107">
                  <c:v>15</c:v>
                </c:pt>
                <c:pt idx="108">
                  <c:v>15</c:v>
                </c:pt>
                <c:pt idx="109">
                  <c:v>15</c:v>
                </c:pt>
                <c:pt idx="110">
                  <c:v>15</c:v>
                </c:pt>
                <c:pt idx="111">
                  <c:v>15</c:v>
                </c:pt>
                <c:pt idx="112">
                  <c:v>15</c:v>
                </c:pt>
                <c:pt idx="113">
                  <c:v>15</c:v>
                </c:pt>
                <c:pt idx="114">
                  <c:v>15</c:v>
                </c:pt>
                <c:pt idx="115">
                  <c:v>15</c:v>
                </c:pt>
                <c:pt idx="116">
                  <c:v>15</c:v>
                </c:pt>
                <c:pt idx="117">
                  <c:v>15</c:v>
                </c:pt>
                <c:pt idx="118">
                  <c:v>15</c:v>
                </c:pt>
                <c:pt idx="119">
                  <c:v>15</c:v>
                </c:pt>
              </c:numCache>
            </c:numRef>
          </c:yVal>
          <c:smooth val="0"/>
        </c:ser>
        <c:ser>
          <c:idx val="2"/>
          <c:order val="2"/>
          <c:tx>
            <c:v>Profondeur obj. max.</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xVal>
            <c:numRef>
              <c:f>simulation!$A$11:$A$130</c:f>
              <c:numCache>
                <c:ptCount val="12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numCache>
            </c:numRef>
          </c:xVal>
          <c:yVal>
            <c:numRef>
              <c:f>simulation!$W$11:$W$130</c:f>
              <c:numCache>
                <c:ptCount val="120"/>
                <c:pt idx="0">
                  <c:v>30</c:v>
                </c:pt>
                <c:pt idx="1">
                  <c:v>30</c:v>
                </c:pt>
                <c:pt idx="2">
                  <c:v>30</c:v>
                </c:pt>
                <c:pt idx="3">
                  <c:v>30</c:v>
                </c:pt>
                <c:pt idx="4">
                  <c:v>30</c:v>
                </c:pt>
                <c:pt idx="5">
                  <c:v>30</c:v>
                </c:pt>
                <c:pt idx="6">
                  <c:v>30</c:v>
                </c:pt>
                <c:pt idx="7">
                  <c:v>30</c:v>
                </c:pt>
                <c:pt idx="8">
                  <c:v>30</c:v>
                </c:pt>
                <c:pt idx="9">
                  <c:v>30</c:v>
                </c:pt>
                <c:pt idx="10">
                  <c:v>30</c:v>
                </c:pt>
                <c:pt idx="11">
                  <c:v>30</c:v>
                </c:pt>
                <c:pt idx="12">
                  <c:v>30</c:v>
                </c:pt>
                <c:pt idx="13">
                  <c:v>30</c:v>
                </c:pt>
                <c:pt idx="14">
                  <c:v>30</c:v>
                </c:pt>
                <c:pt idx="15">
                  <c:v>30</c:v>
                </c:pt>
                <c:pt idx="16">
                  <c:v>30</c:v>
                </c:pt>
                <c:pt idx="17">
                  <c:v>30</c:v>
                </c:pt>
                <c:pt idx="18">
                  <c:v>30</c:v>
                </c:pt>
                <c:pt idx="19">
                  <c:v>30</c:v>
                </c:pt>
                <c:pt idx="20">
                  <c:v>30</c:v>
                </c:pt>
                <c:pt idx="21">
                  <c:v>30</c:v>
                </c:pt>
                <c:pt idx="22">
                  <c:v>30</c:v>
                </c:pt>
                <c:pt idx="23">
                  <c:v>30</c:v>
                </c:pt>
                <c:pt idx="24">
                  <c:v>30</c:v>
                </c:pt>
                <c:pt idx="25">
                  <c:v>30</c:v>
                </c:pt>
                <c:pt idx="26">
                  <c:v>30</c:v>
                </c:pt>
                <c:pt idx="27">
                  <c:v>30</c:v>
                </c:pt>
                <c:pt idx="28">
                  <c:v>30</c:v>
                </c:pt>
                <c:pt idx="29">
                  <c:v>30</c:v>
                </c:pt>
                <c:pt idx="30">
                  <c:v>30</c:v>
                </c:pt>
                <c:pt idx="31">
                  <c:v>30</c:v>
                </c:pt>
                <c:pt idx="32">
                  <c:v>30</c:v>
                </c:pt>
                <c:pt idx="33">
                  <c:v>30</c:v>
                </c:pt>
                <c:pt idx="34">
                  <c:v>30</c:v>
                </c:pt>
                <c:pt idx="35">
                  <c:v>30</c:v>
                </c:pt>
                <c:pt idx="36">
                  <c:v>30</c:v>
                </c:pt>
                <c:pt idx="37">
                  <c:v>30</c:v>
                </c:pt>
                <c:pt idx="38">
                  <c:v>30</c:v>
                </c:pt>
                <c:pt idx="39">
                  <c:v>30</c:v>
                </c:pt>
                <c:pt idx="40">
                  <c:v>30</c:v>
                </c:pt>
                <c:pt idx="41">
                  <c:v>30</c:v>
                </c:pt>
                <c:pt idx="42">
                  <c:v>30</c:v>
                </c:pt>
                <c:pt idx="43">
                  <c:v>30</c:v>
                </c:pt>
                <c:pt idx="44">
                  <c:v>30</c:v>
                </c:pt>
                <c:pt idx="45">
                  <c:v>30</c:v>
                </c:pt>
                <c:pt idx="46">
                  <c:v>30</c:v>
                </c:pt>
                <c:pt idx="47">
                  <c:v>30</c:v>
                </c:pt>
                <c:pt idx="48">
                  <c:v>30</c:v>
                </c:pt>
                <c:pt idx="49">
                  <c:v>30</c:v>
                </c:pt>
                <c:pt idx="50">
                  <c:v>30</c:v>
                </c:pt>
                <c:pt idx="51">
                  <c:v>30</c:v>
                </c:pt>
                <c:pt idx="52">
                  <c:v>30</c:v>
                </c:pt>
                <c:pt idx="53">
                  <c:v>30</c:v>
                </c:pt>
                <c:pt idx="54">
                  <c:v>30</c:v>
                </c:pt>
                <c:pt idx="55">
                  <c:v>30</c:v>
                </c:pt>
                <c:pt idx="56">
                  <c:v>30</c:v>
                </c:pt>
                <c:pt idx="57">
                  <c:v>30</c:v>
                </c:pt>
                <c:pt idx="58">
                  <c:v>30</c:v>
                </c:pt>
                <c:pt idx="59">
                  <c:v>30</c:v>
                </c:pt>
                <c:pt idx="60">
                  <c:v>30</c:v>
                </c:pt>
                <c:pt idx="61">
                  <c:v>30</c:v>
                </c:pt>
                <c:pt idx="62">
                  <c:v>30</c:v>
                </c:pt>
                <c:pt idx="63">
                  <c:v>30</c:v>
                </c:pt>
                <c:pt idx="64">
                  <c:v>30</c:v>
                </c:pt>
                <c:pt idx="65">
                  <c:v>30</c:v>
                </c:pt>
                <c:pt idx="66">
                  <c:v>30</c:v>
                </c:pt>
                <c:pt idx="67">
                  <c:v>30</c:v>
                </c:pt>
                <c:pt idx="68">
                  <c:v>30</c:v>
                </c:pt>
                <c:pt idx="69">
                  <c:v>30</c:v>
                </c:pt>
                <c:pt idx="70">
                  <c:v>30</c:v>
                </c:pt>
                <c:pt idx="71">
                  <c:v>30</c:v>
                </c:pt>
                <c:pt idx="72">
                  <c:v>30</c:v>
                </c:pt>
                <c:pt idx="73">
                  <c:v>30</c:v>
                </c:pt>
                <c:pt idx="74">
                  <c:v>30</c:v>
                </c:pt>
                <c:pt idx="75">
                  <c:v>30</c:v>
                </c:pt>
                <c:pt idx="76">
                  <c:v>30</c:v>
                </c:pt>
                <c:pt idx="77">
                  <c:v>30</c:v>
                </c:pt>
                <c:pt idx="78">
                  <c:v>30</c:v>
                </c:pt>
                <c:pt idx="79">
                  <c:v>30</c:v>
                </c:pt>
                <c:pt idx="80">
                  <c:v>30</c:v>
                </c:pt>
                <c:pt idx="81">
                  <c:v>30</c:v>
                </c:pt>
                <c:pt idx="82">
                  <c:v>30</c:v>
                </c:pt>
                <c:pt idx="83">
                  <c:v>30</c:v>
                </c:pt>
                <c:pt idx="84">
                  <c:v>30</c:v>
                </c:pt>
                <c:pt idx="85">
                  <c:v>30</c:v>
                </c:pt>
                <c:pt idx="86">
                  <c:v>30</c:v>
                </c:pt>
                <c:pt idx="87">
                  <c:v>30</c:v>
                </c:pt>
                <c:pt idx="88">
                  <c:v>30</c:v>
                </c:pt>
                <c:pt idx="89">
                  <c:v>30</c:v>
                </c:pt>
                <c:pt idx="90">
                  <c:v>30</c:v>
                </c:pt>
                <c:pt idx="91">
                  <c:v>30</c:v>
                </c:pt>
                <c:pt idx="92">
                  <c:v>30</c:v>
                </c:pt>
                <c:pt idx="93">
                  <c:v>30</c:v>
                </c:pt>
                <c:pt idx="94">
                  <c:v>30</c:v>
                </c:pt>
                <c:pt idx="95">
                  <c:v>30</c:v>
                </c:pt>
                <c:pt idx="96">
                  <c:v>30</c:v>
                </c:pt>
                <c:pt idx="97">
                  <c:v>30</c:v>
                </c:pt>
                <c:pt idx="98">
                  <c:v>30</c:v>
                </c:pt>
                <c:pt idx="99">
                  <c:v>30</c:v>
                </c:pt>
                <c:pt idx="100">
                  <c:v>30</c:v>
                </c:pt>
                <c:pt idx="101">
                  <c:v>30</c:v>
                </c:pt>
                <c:pt idx="102">
                  <c:v>30</c:v>
                </c:pt>
                <c:pt idx="103">
                  <c:v>30</c:v>
                </c:pt>
                <c:pt idx="104">
                  <c:v>30</c:v>
                </c:pt>
                <c:pt idx="105">
                  <c:v>30</c:v>
                </c:pt>
                <c:pt idx="106">
                  <c:v>30</c:v>
                </c:pt>
                <c:pt idx="107">
                  <c:v>30</c:v>
                </c:pt>
                <c:pt idx="108">
                  <c:v>30</c:v>
                </c:pt>
                <c:pt idx="109">
                  <c:v>30</c:v>
                </c:pt>
                <c:pt idx="110">
                  <c:v>30</c:v>
                </c:pt>
                <c:pt idx="111">
                  <c:v>30</c:v>
                </c:pt>
                <c:pt idx="112">
                  <c:v>30</c:v>
                </c:pt>
                <c:pt idx="113">
                  <c:v>30</c:v>
                </c:pt>
                <c:pt idx="114">
                  <c:v>30</c:v>
                </c:pt>
                <c:pt idx="115">
                  <c:v>30</c:v>
                </c:pt>
                <c:pt idx="116">
                  <c:v>30</c:v>
                </c:pt>
                <c:pt idx="117">
                  <c:v>30</c:v>
                </c:pt>
                <c:pt idx="118">
                  <c:v>30</c:v>
                </c:pt>
                <c:pt idx="119">
                  <c:v>30</c:v>
                </c:pt>
              </c:numCache>
            </c:numRef>
          </c:yVal>
          <c:smooth val="0"/>
        </c:ser>
        <c:axId val="10744156"/>
        <c:axId val="29588541"/>
      </c:scatterChart>
      <c:valAx>
        <c:axId val="10744156"/>
        <c:scaling>
          <c:orientation val="minMax"/>
        </c:scaling>
        <c:axPos val="b"/>
        <c:title>
          <c:tx>
            <c:rich>
              <a:bodyPr vert="horz" rot="0" anchor="ctr"/>
              <a:lstStyle/>
              <a:p>
                <a:pPr algn="ctr">
                  <a:defRPr/>
                </a:pPr>
                <a:r>
                  <a:rPr lang="en-US" cap="none" sz="1050" b="1" i="0" u="none" baseline="0">
                    <a:latin typeface="Arial"/>
                    <a:ea typeface="Arial"/>
                    <a:cs typeface="Arial"/>
                  </a:rPr>
                  <a:t>Temps mois</a:t>
                </a:r>
              </a:p>
            </c:rich>
          </c:tx>
          <c:layout/>
          <c:overlay val="0"/>
          <c:spPr>
            <a:noFill/>
            <a:ln>
              <a:noFill/>
            </a:ln>
          </c:spPr>
        </c:title>
        <c:delete val="0"/>
        <c:numFmt formatCode="General" sourceLinked="1"/>
        <c:majorTickMark val="out"/>
        <c:minorTickMark val="none"/>
        <c:tickLblPos val="nextTo"/>
        <c:crossAx val="29588541"/>
        <c:crosses val="autoZero"/>
        <c:crossBetween val="midCat"/>
        <c:dispUnits/>
      </c:valAx>
      <c:valAx>
        <c:axId val="29588541"/>
        <c:scaling>
          <c:orientation val="minMax"/>
        </c:scaling>
        <c:axPos val="l"/>
        <c:title>
          <c:tx>
            <c:rich>
              <a:bodyPr vert="horz" rot="-5400000" anchor="ctr"/>
              <a:lstStyle/>
              <a:p>
                <a:pPr algn="ctr">
                  <a:defRPr/>
                </a:pPr>
                <a:r>
                  <a:rPr lang="en-US" cap="none" sz="1050" b="1" i="0" u="none" baseline="0">
                    <a:latin typeface="Arial"/>
                    <a:ea typeface="Arial"/>
                    <a:cs typeface="Arial"/>
                  </a:rPr>
                  <a:t>Profondeur m</a:t>
                </a:r>
              </a:p>
            </c:rich>
          </c:tx>
          <c:layout/>
          <c:overlay val="0"/>
          <c:spPr>
            <a:noFill/>
            <a:ln>
              <a:noFill/>
            </a:ln>
          </c:spPr>
        </c:title>
        <c:majorGridlines/>
        <c:delete val="0"/>
        <c:numFmt formatCode="General" sourceLinked="1"/>
        <c:majorTickMark val="out"/>
        <c:minorTickMark val="none"/>
        <c:tickLblPos val="nextTo"/>
        <c:crossAx val="10744156"/>
        <c:crosses val="autoZero"/>
        <c:crossBetween val="midCat"/>
        <c:dispUnits/>
      </c:valAx>
      <c:spPr>
        <a:noFill/>
        <a:ln w="12700">
          <a:solidFill>
            <a:srgbClr val="808080"/>
          </a:solidFill>
        </a:ln>
      </c:spPr>
    </c:plotArea>
    <c:legend>
      <c:legendPos val="r"/>
      <c:layout>
        <c:manualLayout>
          <c:xMode val="edge"/>
          <c:yMode val="edge"/>
          <c:x val="0.664"/>
          <c:y val="0.01425"/>
          <c:w val="0.336"/>
          <c:h val="0.154"/>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Pêche vs capacité</a:t>
            </a:r>
          </a:p>
        </c:rich>
      </c:tx>
      <c:layout/>
      <c:spPr>
        <a:noFill/>
        <a:ln>
          <a:noFill/>
        </a:ln>
      </c:spPr>
    </c:title>
    <c:plotArea>
      <c:layout>
        <c:manualLayout>
          <c:xMode val="edge"/>
          <c:yMode val="edge"/>
          <c:x val="0.069"/>
          <c:y val="0.11775"/>
          <c:w val="0.923"/>
          <c:h val="0.76925"/>
        </c:manualLayout>
      </c:layout>
      <c:scatterChart>
        <c:scatterStyle val="lineMarker"/>
        <c:varyColors val="0"/>
        <c:ser>
          <c:idx val="0"/>
          <c:order val="0"/>
          <c:tx>
            <c:strRef>
              <c:f>res_pêche!$A$7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res_pêche!$B$6:$P$6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res_pêche!$B$7:$P$7</c:f>
              <c:numCache>
                <c:ptCount val="15"/>
                <c:pt idx="0">
                  <c:v>0</c:v>
                </c:pt>
                <c:pt idx="1">
                  <c:v>0</c:v>
                </c:pt>
                <c:pt idx="2">
                  <c:v>0</c:v>
                </c:pt>
                <c:pt idx="3">
                  <c:v>0</c:v>
                </c:pt>
                <c:pt idx="4">
                  <c:v>67.5</c:v>
                </c:pt>
                <c:pt idx="5">
                  <c:v>71.6666666666667</c:v>
                </c:pt>
                <c:pt idx="6">
                  <c:v>80.8333333333333</c:v>
                </c:pt>
                <c:pt idx="7">
                  <c:v>98.3333333333333</c:v>
                </c:pt>
                <c:pt idx="8">
                  <c:v>100</c:v>
                </c:pt>
                <c:pt idx="9">
                  <c:v>41.6666666666667</c:v>
                </c:pt>
                <c:pt idx="10">
                  <c:v>19.1666666666667</c:v>
                </c:pt>
                <c:pt idx="11">
                  <c:v>3.33333333333333</c:v>
                </c:pt>
                <c:pt idx="12">
                  <c:v>0</c:v>
                </c:pt>
                <c:pt idx="13">
                  <c:v>0</c:v>
                </c:pt>
              </c:numCache>
            </c:numRef>
          </c:yVal>
          <c:smooth val="0"/>
        </c:ser>
        <c:ser>
          <c:idx val="1"/>
          <c:order val="1"/>
          <c:tx>
            <c:strRef>
              <c:f>res_pêche!$A$8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res_pêche!$B$6:$P$6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res_pêche!$B$8:$P$8</c:f>
              <c:numCache>
                <c:ptCount val="15"/>
                <c:pt idx="0">
                  <c:v>0</c:v>
                </c:pt>
                <c:pt idx="1">
                  <c:v>0</c:v>
                </c:pt>
                <c:pt idx="2">
                  <c:v>0</c:v>
                </c:pt>
                <c:pt idx="3">
                  <c:v>0</c:v>
                </c:pt>
                <c:pt idx="4">
                  <c:v>28.2051282051282</c:v>
                </c:pt>
                <c:pt idx="5">
                  <c:v>29.4117647058824</c:v>
                </c:pt>
                <c:pt idx="6">
                  <c:v>43.4782608695652</c:v>
                </c:pt>
                <c:pt idx="7">
                  <c:v>100</c:v>
                </c:pt>
                <c:pt idx="8">
                  <c:v>100</c:v>
                </c:pt>
                <c:pt idx="9">
                  <c:v>15.7142857142857</c:v>
                </c:pt>
                <c:pt idx="10">
                  <c:v>6.18556701030928</c:v>
                </c:pt>
                <c:pt idx="11">
                  <c:v>1.72413793103448</c:v>
                </c:pt>
                <c:pt idx="12">
                  <c:v>0</c:v>
                </c:pt>
                <c:pt idx="13">
                  <c:v>0</c:v>
                </c:pt>
              </c:numCache>
            </c:numRef>
          </c:yVal>
          <c:smooth val="0"/>
        </c:ser>
        <c:ser>
          <c:idx val="2"/>
          <c:order val="2"/>
          <c:tx>
            <c:strRef>
              <c:f>res_pêche!$A$10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res_pêche!$B$6:$P$6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res_pêche!$B$10:$P$10</c:f>
              <c:numCache>
                <c:ptCount val="15"/>
                <c:pt idx="0">
                  <c:v>100</c:v>
                </c:pt>
                <c:pt idx="1">
                  <c:v>100</c:v>
                </c:pt>
                <c:pt idx="2">
                  <c:v>100</c:v>
                </c:pt>
                <c:pt idx="3">
                  <c:v>100</c:v>
                </c:pt>
                <c:pt idx="4">
                  <c:v>94.79016572460091</c:v>
                </c:pt>
                <c:pt idx="5">
                  <c:v>60.5594681126692</c:v>
                </c:pt>
                <c:pt idx="6">
                  <c:v>42.2649730810374</c:v>
                </c:pt>
                <c:pt idx="7">
                  <c:v>8.2576070365141</c:v>
                </c:pt>
                <c:pt idx="8">
                  <c:v>0</c:v>
                </c:pt>
                <c:pt idx="9">
                  <c:v>10.818510677892</c:v>
                </c:pt>
                <c:pt idx="10">
                  <c:v>30.9401076758503</c:v>
                </c:pt>
                <c:pt idx="11">
                  <c:v>49.4438257849294</c:v>
                </c:pt>
                <c:pt idx="12">
                  <c:v>82.84271247461899</c:v>
                </c:pt>
                <c:pt idx="13">
                  <c:v>98.14239699997201</c:v>
                </c:pt>
              </c:numCache>
            </c:numRef>
          </c:yVal>
          <c:smooth val="0"/>
        </c:ser>
        <c:axId val="64970278"/>
        <c:axId val="47861591"/>
      </c:scatterChart>
      <c:valAx>
        <c:axId val="64970278"/>
        <c:scaling>
          <c:orientation val="minMax"/>
        </c:scaling>
        <c:axPos val="b"/>
        <c:title>
          <c:tx>
            <c:rich>
              <a:bodyPr vert="horz" rot="0" anchor="ctr"/>
              <a:lstStyle/>
              <a:p>
                <a:pPr algn="ctr">
                  <a:defRPr/>
                </a:pPr>
                <a:r>
                  <a:rPr lang="en-US" cap="none" sz="1000" b="1" i="0" u="none" baseline="0">
                    <a:latin typeface="Arial"/>
                    <a:ea typeface="Arial"/>
                    <a:cs typeface="Arial"/>
                  </a:rPr>
                  <a:t>Capacité [10^6 m3]</a:t>
                </a:r>
              </a:p>
            </c:rich>
          </c:tx>
          <c:layout/>
          <c:overlay val="0"/>
          <c:spPr>
            <a:noFill/>
            <a:ln>
              <a:noFill/>
            </a:ln>
          </c:spPr>
        </c:title>
        <c:majorGridlines/>
        <c:minorGridlines/>
        <c:delete val="0"/>
        <c:numFmt formatCode="0.0" sourceLinked="0"/>
        <c:majorTickMark val="out"/>
        <c:minorTickMark val="out"/>
        <c:tickLblPos val="nextTo"/>
        <c:txPr>
          <a:bodyPr/>
          <a:lstStyle/>
          <a:p>
            <a:pPr>
              <a:defRPr lang="en-US" cap="none" sz="1000" b="0" i="0" u="none" baseline="0">
                <a:latin typeface="Arial"/>
                <a:ea typeface="Arial"/>
                <a:cs typeface="Arial"/>
              </a:defRPr>
            </a:pPr>
          </a:p>
        </c:txPr>
        <c:crossAx val="47861591"/>
        <c:crosses val="autoZero"/>
        <c:crossBetween val="midCat"/>
        <c:dispUnits/>
      </c:valAx>
      <c:valAx>
        <c:axId val="47861591"/>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4970278"/>
        <c:crosses val="autoZero"/>
        <c:crossBetween val="midCat"/>
        <c:dispUnits/>
      </c:valAx>
      <c:spPr>
        <a:noFill/>
        <a:ln w="12700">
          <a:solidFill>
            <a:srgbClr val="808080"/>
          </a:solidFill>
        </a:ln>
      </c:spPr>
    </c:plotArea>
    <c:legend>
      <c:legendPos val="r"/>
      <c:layout>
        <c:manualLayout>
          <c:xMode val="edge"/>
          <c:yMode val="edge"/>
          <c:x val="0.7885"/>
          <c:y val="0.00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Récréation vs capacité</a:t>
            </a:r>
          </a:p>
        </c:rich>
      </c:tx>
      <c:layout>
        <c:manualLayout>
          <c:xMode val="factor"/>
          <c:yMode val="factor"/>
          <c:x val="0.01425"/>
          <c:y val="-0.003"/>
        </c:manualLayout>
      </c:layout>
      <c:spPr>
        <a:noFill/>
        <a:ln>
          <a:noFill/>
        </a:ln>
      </c:spPr>
    </c:title>
    <c:plotArea>
      <c:layout>
        <c:manualLayout>
          <c:xMode val="edge"/>
          <c:yMode val="edge"/>
          <c:x val="0.0605"/>
          <c:y val="0.11825"/>
          <c:w val="0.9315"/>
          <c:h val="0.7825"/>
        </c:manualLayout>
      </c:layout>
      <c:scatterChart>
        <c:scatterStyle val="lineMarker"/>
        <c:varyColors val="0"/>
        <c:ser>
          <c:idx val="0"/>
          <c:order val="0"/>
          <c:tx>
            <c:strRef>
              <c:f>res_récréation!$A$7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res_récréation!$B$7:$P$7</c:f>
              <c:numCache>
                <c:ptCount val="15"/>
                <c:pt idx="0">
                  <c:v>0</c:v>
                </c:pt>
                <c:pt idx="1">
                  <c:v>0</c:v>
                </c:pt>
                <c:pt idx="2">
                  <c:v>0</c:v>
                </c:pt>
                <c:pt idx="3">
                  <c:v>0</c:v>
                </c:pt>
                <c:pt idx="4">
                  <c:v>67.5</c:v>
                </c:pt>
                <c:pt idx="5">
                  <c:v>71.6666666666667</c:v>
                </c:pt>
                <c:pt idx="6">
                  <c:v>80.8333333333333</c:v>
                </c:pt>
                <c:pt idx="7">
                  <c:v>98.3333333333333</c:v>
                </c:pt>
                <c:pt idx="8">
                  <c:v>100</c:v>
                </c:pt>
                <c:pt idx="9">
                  <c:v>100</c:v>
                </c:pt>
                <c:pt idx="10">
                  <c:v>100</c:v>
                </c:pt>
                <c:pt idx="11">
                  <c:v>100</c:v>
                </c:pt>
                <c:pt idx="12">
                  <c:v>100</c:v>
                </c:pt>
                <c:pt idx="13">
                  <c:v>100</c:v>
                </c:pt>
              </c:numCache>
            </c:numRef>
          </c:yVal>
          <c:smooth val="0"/>
        </c:ser>
        <c:ser>
          <c:idx val="1"/>
          <c:order val="1"/>
          <c:tx>
            <c:strRef>
              <c:f>res_récréation!$A$8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res_récréation!$B$6:$P$6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res_récréation!$B$8:$P$8</c:f>
              <c:numCache>
                <c:ptCount val="15"/>
                <c:pt idx="0">
                  <c:v>0</c:v>
                </c:pt>
                <c:pt idx="1">
                  <c:v>0</c:v>
                </c:pt>
                <c:pt idx="2">
                  <c:v>0</c:v>
                </c:pt>
                <c:pt idx="3">
                  <c:v>0</c:v>
                </c:pt>
                <c:pt idx="4">
                  <c:v>28.2051282051282</c:v>
                </c:pt>
                <c:pt idx="5">
                  <c:v>29.4117647058824</c:v>
                </c:pt>
                <c:pt idx="6">
                  <c:v>43.4782608695652</c:v>
                </c:pt>
                <c:pt idx="7">
                  <c:v>100</c:v>
                </c:pt>
                <c:pt idx="8">
                  <c:v>100</c:v>
                </c:pt>
                <c:pt idx="9">
                  <c:v>100</c:v>
                </c:pt>
                <c:pt idx="10">
                  <c:v>100</c:v>
                </c:pt>
                <c:pt idx="11">
                  <c:v>100</c:v>
                </c:pt>
                <c:pt idx="12">
                  <c:v>100</c:v>
                </c:pt>
                <c:pt idx="13">
                  <c:v>100</c:v>
                </c:pt>
              </c:numCache>
            </c:numRef>
          </c:yVal>
          <c:smooth val="0"/>
        </c:ser>
        <c:ser>
          <c:idx val="2"/>
          <c:order val="2"/>
          <c:tx>
            <c:strRef>
              <c:f>res_récréation!$A$10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res_récréation!$B$6:$P$6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res_récréation!$B$10:$P$10</c:f>
              <c:numCache>
                <c:ptCount val="15"/>
                <c:pt idx="0">
                  <c:v>99.9999998728434</c:v>
                </c:pt>
                <c:pt idx="1">
                  <c:v>99.9999998728434</c:v>
                </c:pt>
                <c:pt idx="2">
                  <c:v>99.9999998728434</c:v>
                </c:pt>
                <c:pt idx="3">
                  <c:v>99.99866666666671</c:v>
                </c:pt>
                <c:pt idx="4">
                  <c:v>94.79016572460091</c:v>
                </c:pt>
                <c:pt idx="5">
                  <c:v>60.5594681126692</c:v>
                </c:pt>
                <c:pt idx="6">
                  <c:v>42.2649730810374</c:v>
                </c:pt>
                <c:pt idx="7">
                  <c:v>8.25760703651409</c:v>
                </c:pt>
                <c:pt idx="8">
                  <c:v>0</c:v>
                </c:pt>
                <c:pt idx="9">
                  <c:v>0</c:v>
                </c:pt>
                <c:pt idx="10">
                  <c:v>0</c:v>
                </c:pt>
                <c:pt idx="11">
                  <c:v>0</c:v>
                </c:pt>
                <c:pt idx="12">
                  <c:v>0</c:v>
                </c:pt>
                <c:pt idx="13">
                  <c:v>0</c:v>
                </c:pt>
              </c:numCache>
            </c:numRef>
          </c:yVal>
          <c:smooth val="0"/>
        </c:ser>
        <c:axId val="28101136"/>
        <c:axId val="51583633"/>
      </c:scatterChart>
      <c:valAx>
        <c:axId val="28101136"/>
        <c:scaling>
          <c:orientation val="minMax"/>
        </c:scaling>
        <c:axPos val="b"/>
        <c:title>
          <c:tx>
            <c:rich>
              <a:bodyPr vert="horz" rot="0" anchor="ctr"/>
              <a:lstStyle/>
              <a:p>
                <a:pPr algn="ctr">
                  <a:defRPr/>
                </a:pPr>
                <a:r>
                  <a:rPr lang="en-US" cap="none" sz="1000" b="1" i="0" u="none" baseline="0">
                    <a:latin typeface="Arial"/>
                    <a:ea typeface="Arial"/>
                    <a:cs typeface="Arial"/>
                  </a:rPr>
                  <a:t>Capacité [10^6 m3]</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51583633"/>
        <c:crosses val="autoZero"/>
        <c:crossBetween val="midCat"/>
        <c:dispUnits/>
      </c:valAx>
      <c:valAx>
        <c:axId val="51583633"/>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8101136"/>
        <c:crosses val="autoZero"/>
        <c:crossBetween val="midCat"/>
        <c:dispUnits/>
      </c:valAx>
      <c:spPr>
        <a:noFill/>
        <a:ln w="12700">
          <a:solidFill>
            <a:srgbClr val="808080"/>
          </a:solidFill>
        </a:ln>
      </c:spPr>
    </c:plotArea>
    <c:legend>
      <c:legendPos val="r"/>
      <c:layout>
        <c:manualLayout>
          <c:xMode val="edge"/>
          <c:yMode val="edge"/>
          <c:x val="0.788"/>
          <c:y val="0.00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Alimentation vs capacité</a:t>
            </a:r>
          </a:p>
        </c:rich>
      </c:tx>
      <c:layout>
        <c:manualLayout>
          <c:xMode val="factor"/>
          <c:yMode val="factor"/>
          <c:x val="-0.01"/>
          <c:y val="-0.006"/>
        </c:manualLayout>
      </c:layout>
      <c:spPr>
        <a:noFill/>
        <a:ln>
          <a:noFill/>
        </a:ln>
      </c:spPr>
    </c:title>
    <c:plotArea>
      <c:layout>
        <c:manualLayout>
          <c:xMode val="edge"/>
          <c:yMode val="edge"/>
          <c:x val="0.06025"/>
          <c:y val="0.11825"/>
          <c:w val="0.93175"/>
          <c:h val="0.7825"/>
        </c:manualLayout>
      </c:layout>
      <c:scatterChart>
        <c:scatterStyle val="lineMarker"/>
        <c:varyColors val="0"/>
        <c:ser>
          <c:idx val="0"/>
          <c:order val="0"/>
          <c:tx>
            <c:strRef>
              <c:f>res_alimentation!$A$7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res_alimentation!$B$7:$P$7</c:f>
              <c:numCache>
                <c:ptCount val="15"/>
                <c:pt idx="0">
                  <c:v>0</c:v>
                </c:pt>
                <c:pt idx="1">
                  <c:v>60.8333333333333</c:v>
                </c:pt>
                <c:pt idx="2">
                  <c:v>63.3333333333333</c:v>
                </c:pt>
                <c:pt idx="3">
                  <c:v>71.6666666666667</c:v>
                </c:pt>
                <c:pt idx="4">
                  <c:v>71.6666666666667</c:v>
                </c:pt>
                <c:pt idx="5">
                  <c:v>78.3333333333333</c:v>
                </c:pt>
                <c:pt idx="6">
                  <c:v>80.8333333333333</c:v>
                </c:pt>
                <c:pt idx="7">
                  <c:v>90</c:v>
                </c:pt>
                <c:pt idx="8">
                  <c:v>95.8333333333333</c:v>
                </c:pt>
                <c:pt idx="9">
                  <c:v>98.3333333333333</c:v>
                </c:pt>
                <c:pt idx="10">
                  <c:v>100</c:v>
                </c:pt>
                <c:pt idx="11">
                  <c:v>100</c:v>
                </c:pt>
                <c:pt idx="12">
                  <c:v>100</c:v>
                </c:pt>
                <c:pt idx="13">
                  <c:v>100</c:v>
                </c:pt>
              </c:numCache>
            </c:numRef>
          </c:yVal>
          <c:smooth val="0"/>
        </c:ser>
        <c:ser>
          <c:idx val="1"/>
          <c:order val="1"/>
          <c:tx>
            <c:strRef>
              <c:f>res_alimentation!$A$8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res_alimentation!$B$6:$P$6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res_alimentation!$B$8:$P$8</c:f>
              <c:numCache>
                <c:ptCount val="15"/>
                <c:pt idx="0">
                  <c:v>0</c:v>
                </c:pt>
                <c:pt idx="1">
                  <c:v>40.4255319148936</c:v>
                </c:pt>
                <c:pt idx="2">
                  <c:v>38.6363636363636</c:v>
                </c:pt>
                <c:pt idx="3">
                  <c:v>32.3529411764706</c:v>
                </c:pt>
                <c:pt idx="4">
                  <c:v>29.4117647058824</c:v>
                </c:pt>
                <c:pt idx="5">
                  <c:v>34.6153846153846</c:v>
                </c:pt>
                <c:pt idx="6">
                  <c:v>43.4782608695652</c:v>
                </c:pt>
                <c:pt idx="7">
                  <c:v>58.3333333333333</c:v>
                </c:pt>
                <c:pt idx="8">
                  <c:v>60</c:v>
                </c:pt>
                <c:pt idx="9">
                  <c:v>100</c:v>
                </c:pt>
                <c:pt idx="10">
                  <c:v>100</c:v>
                </c:pt>
                <c:pt idx="11">
                  <c:v>100</c:v>
                </c:pt>
                <c:pt idx="12">
                  <c:v>100</c:v>
                </c:pt>
                <c:pt idx="13">
                  <c:v>100</c:v>
                </c:pt>
              </c:numCache>
            </c:numRef>
          </c:yVal>
          <c:smooth val="0"/>
        </c:ser>
        <c:ser>
          <c:idx val="2"/>
          <c:order val="2"/>
          <c:tx>
            <c:strRef>
              <c:f>res_alimentation!$A$10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res_alimentation!$B$6:$P$6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res_alimentation!$B$10:$P$10</c:f>
              <c:numCache>
                <c:ptCount val="15"/>
                <c:pt idx="0">
                  <c:v>100</c:v>
                </c:pt>
                <c:pt idx="1">
                  <c:v>100</c:v>
                </c:pt>
                <c:pt idx="2">
                  <c:v>100</c:v>
                </c:pt>
                <c:pt idx="3">
                  <c:v>100</c:v>
                </c:pt>
                <c:pt idx="4">
                  <c:v>99.33073600385171</c:v>
                </c:pt>
                <c:pt idx="5">
                  <c:v>61.6438356164384</c:v>
                </c:pt>
                <c:pt idx="6">
                  <c:v>50</c:v>
                </c:pt>
                <c:pt idx="7">
                  <c:v>50</c:v>
                </c:pt>
                <c:pt idx="8">
                  <c:v>50</c:v>
                </c:pt>
                <c:pt idx="9">
                  <c:v>50</c:v>
                </c:pt>
                <c:pt idx="10">
                  <c:v>0</c:v>
                </c:pt>
                <c:pt idx="11">
                  <c:v>0</c:v>
                </c:pt>
                <c:pt idx="12">
                  <c:v>0</c:v>
                </c:pt>
                <c:pt idx="13">
                  <c:v>0</c:v>
                </c:pt>
              </c:numCache>
            </c:numRef>
          </c:yVal>
          <c:smooth val="0"/>
        </c:ser>
        <c:axId val="61599514"/>
        <c:axId val="17524715"/>
      </c:scatterChart>
      <c:valAx>
        <c:axId val="61599514"/>
        <c:scaling>
          <c:orientation val="minMax"/>
        </c:scaling>
        <c:axPos val="b"/>
        <c:title>
          <c:tx>
            <c:rich>
              <a:bodyPr vert="horz" rot="0" anchor="ctr"/>
              <a:lstStyle/>
              <a:p>
                <a:pPr algn="ctr">
                  <a:defRPr/>
                </a:pPr>
                <a:r>
                  <a:rPr lang="en-US" cap="none" sz="1000" b="1" i="0" u="none" baseline="0">
                    <a:latin typeface="Arial"/>
                    <a:ea typeface="Arial"/>
                    <a:cs typeface="Arial"/>
                  </a:rPr>
                  <a:t>Capacité [10^6 m3]</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7524715"/>
        <c:crosses val="autoZero"/>
        <c:crossBetween val="midCat"/>
        <c:dispUnits/>
      </c:valAx>
      <c:valAx>
        <c:axId val="17524715"/>
        <c:scaling>
          <c:orientation val="minMax"/>
          <c:max val="100"/>
        </c:scaling>
        <c:axPos val="l"/>
        <c:title>
          <c:tx>
            <c:rich>
              <a:bodyPr vert="horz" rot="-5400000" anchor="ctr"/>
              <a:lstStyle/>
              <a:p>
                <a:pPr algn="ctr">
                  <a:defRPr/>
                </a:pPr>
                <a:r>
                  <a:rPr lang="en-US" cap="none" sz="1000"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61599514"/>
        <c:crosses val="autoZero"/>
        <c:crossBetween val="midCat"/>
        <c:dispUnits/>
      </c:valAx>
      <c:spPr>
        <a:noFill/>
        <a:ln w="12700">
          <a:solidFill>
            <a:srgbClr val="808080"/>
          </a:solidFill>
        </a:ln>
      </c:spPr>
    </c:plotArea>
    <c:legend>
      <c:legendPos val="r"/>
      <c:layout>
        <c:manualLayout>
          <c:xMode val="edge"/>
          <c:yMode val="edge"/>
          <c:x val="0.7885"/>
          <c:y val="0.009"/>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Débordement vs capacité</a:t>
            </a:r>
          </a:p>
        </c:rich>
      </c:tx>
      <c:layout>
        <c:manualLayout>
          <c:xMode val="factor"/>
          <c:yMode val="factor"/>
          <c:x val="0.02025"/>
          <c:y val="0"/>
        </c:manualLayout>
      </c:layout>
      <c:spPr>
        <a:noFill/>
        <a:ln>
          <a:noFill/>
        </a:ln>
      </c:spPr>
    </c:title>
    <c:plotArea>
      <c:layout>
        <c:manualLayout>
          <c:xMode val="edge"/>
          <c:yMode val="edge"/>
          <c:x val="0.0795"/>
          <c:y val="0.19625"/>
          <c:w val="0.90975"/>
          <c:h val="0.666"/>
        </c:manualLayout>
      </c:layout>
      <c:scatterChart>
        <c:scatterStyle val="lineMarker"/>
        <c:varyColors val="0"/>
        <c:ser>
          <c:idx val="0"/>
          <c:order val="0"/>
          <c:tx>
            <c:strRef>
              <c:f>res_débord!$A$7</c:f>
              <c:strCache>
                <c:ptCount val="1"/>
                <c:pt idx="0">
                  <c:v>Fiabilité</c:v>
                </c:pt>
              </c:strCache>
            </c:strRef>
          </c:tx>
          <c:extLst>
            <c:ext xmlns:c14="http://schemas.microsoft.com/office/drawing/2007/8/2/chart" uri="{6F2FDCE9-48DA-4B69-8628-5D25D57E5C99}">
              <c14:invertSolidFillFmt>
                <c14:spPr>
                  <a:solidFill>
                    <a:srgbClr val="000000"/>
                  </a:solidFill>
                </c14:spPr>
              </c14:invertSolidFillFmt>
            </c:ext>
          </c:extLst>
          <c:xVal>
            <c:numRef>
              <c:f>res_débord!$B$6:$P$6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res_débord!$B$7:$P$7</c:f>
              <c:numCache>
                <c:ptCount val="15"/>
                <c:pt idx="0">
                  <c:v>33.3333333333333</c:v>
                </c:pt>
                <c:pt idx="1">
                  <c:v>40</c:v>
                </c:pt>
                <c:pt idx="2">
                  <c:v>44.1666666666667</c:v>
                </c:pt>
                <c:pt idx="3">
                  <c:v>47.5</c:v>
                </c:pt>
                <c:pt idx="4">
                  <c:v>50.8333333333333</c:v>
                </c:pt>
                <c:pt idx="5">
                  <c:v>54.1666666666667</c:v>
                </c:pt>
                <c:pt idx="6">
                  <c:v>54.1666666666667</c:v>
                </c:pt>
                <c:pt idx="7">
                  <c:v>56.6666666666667</c:v>
                </c:pt>
                <c:pt idx="8">
                  <c:v>59.1666666666667</c:v>
                </c:pt>
                <c:pt idx="9">
                  <c:v>59.1666666666667</c:v>
                </c:pt>
                <c:pt idx="10">
                  <c:v>59.1666666666667</c:v>
                </c:pt>
                <c:pt idx="11">
                  <c:v>59.1666666666667</c:v>
                </c:pt>
                <c:pt idx="12">
                  <c:v>59.1666666666667</c:v>
                </c:pt>
                <c:pt idx="13">
                  <c:v>59.1666666666667</c:v>
                </c:pt>
              </c:numCache>
            </c:numRef>
          </c:yVal>
          <c:smooth val="0"/>
        </c:ser>
        <c:ser>
          <c:idx val="1"/>
          <c:order val="1"/>
          <c:tx>
            <c:strRef>
              <c:f>res_débord!$A$8</c:f>
              <c:strCache>
                <c:ptCount val="1"/>
                <c:pt idx="0">
                  <c:v>Résilience</c:v>
                </c:pt>
              </c:strCache>
            </c:strRef>
          </c:tx>
          <c:extLst>
            <c:ext xmlns:c14="http://schemas.microsoft.com/office/drawing/2007/8/2/chart" uri="{6F2FDCE9-48DA-4B69-8628-5D25D57E5C99}">
              <c14:invertSolidFillFmt>
                <c14:spPr>
                  <a:solidFill>
                    <a:srgbClr val="000000"/>
                  </a:solidFill>
                </c14:spPr>
              </c14:invertSolidFillFmt>
            </c:ext>
          </c:extLst>
          <c:xVal>
            <c:numRef>
              <c:f>res_débord!$B$6:$P$6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res_débord!$B$8:$P$8</c:f>
              <c:numCache>
                <c:ptCount val="15"/>
                <c:pt idx="0">
                  <c:v>25</c:v>
                </c:pt>
                <c:pt idx="1">
                  <c:v>25</c:v>
                </c:pt>
                <c:pt idx="2">
                  <c:v>23.8805970149254</c:v>
                </c:pt>
                <c:pt idx="3">
                  <c:v>23.8095238095238</c:v>
                </c:pt>
                <c:pt idx="4">
                  <c:v>23.728813559322</c:v>
                </c:pt>
                <c:pt idx="5">
                  <c:v>21.8181818181818</c:v>
                </c:pt>
                <c:pt idx="6">
                  <c:v>21.8181818181818</c:v>
                </c:pt>
                <c:pt idx="7">
                  <c:v>21.1538461538462</c:v>
                </c:pt>
                <c:pt idx="8">
                  <c:v>22.4489795918367</c:v>
                </c:pt>
                <c:pt idx="9">
                  <c:v>22.4489795918367</c:v>
                </c:pt>
                <c:pt idx="10">
                  <c:v>22.4489795918367</c:v>
                </c:pt>
                <c:pt idx="11">
                  <c:v>22.4489795918367</c:v>
                </c:pt>
                <c:pt idx="12">
                  <c:v>22.4489795918367</c:v>
                </c:pt>
                <c:pt idx="13">
                  <c:v>22.4489795918367</c:v>
                </c:pt>
              </c:numCache>
            </c:numRef>
          </c:yVal>
          <c:smooth val="0"/>
        </c:ser>
        <c:ser>
          <c:idx val="2"/>
          <c:order val="2"/>
          <c:tx>
            <c:strRef>
              <c:f>res_débord!$A$10</c:f>
              <c:strCache>
                <c:ptCount val="1"/>
                <c:pt idx="0">
                  <c:v>1 mois  Vul %</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FFFF"/>
              </a:solidFill>
              <a:ln>
                <a:solidFill>
                  <a:srgbClr val="00FFFF"/>
                </a:solidFill>
              </a:ln>
            </c:spPr>
          </c:marker>
          <c:xVal>
            <c:numRef>
              <c:f>res_débord!$B$6:$P$6</c:f>
              <c:numCache>
                <c:ptCount val="15"/>
                <c:pt idx="0">
                  <c:v>0.1</c:v>
                </c:pt>
                <c:pt idx="1">
                  <c:v>0.2</c:v>
                </c:pt>
                <c:pt idx="2">
                  <c:v>0.3</c:v>
                </c:pt>
                <c:pt idx="3">
                  <c:v>0.5</c:v>
                </c:pt>
                <c:pt idx="4">
                  <c:v>0.8</c:v>
                </c:pt>
                <c:pt idx="5">
                  <c:v>1</c:v>
                </c:pt>
                <c:pt idx="6">
                  <c:v>1.1</c:v>
                </c:pt>
                <c:pt idx="7">
                  <c:v>1.5</c:v>
                </c:pt>
                <c:pt idx="8">
                  <c:v>2</c:v>
                </c:pt>
                <c:pt idx="9">
                  <c:v>2.5</c:v>
                </c:pt>
                <c:pt idx="10">
                  <c:v>3</c:v>
                </c:pt>
                <c:pt idx="11">
                  <c:v>3.5</c:v>
                </c:pt>
                <c:pt idx="12">
                  <c:v>4.5</c:v>
                </c:pt>
                <c:pt idx="13">
                  <c:v>5</c:v>
                </c:pt>
              </c:numCache>
            </c:numRef>
          </c:xVal>
          <c:yVal>
            <c:numRef>
              <c:f>res_débord!$B$10:$P$10</c:f>
              <c:numCache>
                <c:ptCount val="15"/>
                <c:pt idx="0">
                  <c:v>96.2877440860445</c:v>
                </c:pt>
                <c:pt idx="1">
                  <c:v>92.57548817208911</c:v>
                </c:pt>
                <c:pt idx="2">
                  <c:v>88.86323225813359</c:v>
                </c:pt>
                <c:pt idx="3">
                  <c:v>83.0563326946756</c:v>
                </c:pt>
                <c:pt idx="4">
                  <c:v>83.0563326946756</c:v>
                </c:pt>
                <c:pt idx="5">
                  <c:v>83.0563326946756</c:v>
                </c:pt>
                <c:pt idx="6">
                  <c:v>83.0563326946756</c:v>
                </c:pt>
                <c:pt idx="7">
                  <c:v>83.0563326946756</c:v>
                </c:pt>
                <c:pt idx="8">
                  <c:v>83.0563326946756</c:v>
                </c:pt>
                <c:pt idx="9">
                  <c:v>83.0563326946756</c:v>
                </c:pt>
                <c:pt idx="10">
                  <c:v>83.0563326946756</c:v>
                </c:pt>
                <c:pt idx="11">
                  <c:v>83.0563326946756</c:v>
                </c:pt>
                <c:pt idx="12">
                  <c:v>83.0563326946756</c:v>
                </c:pt>
                <c:pt idx="13">
                  <c:v>83.0563326946756</c:v>
                </c:pt>
              </c:numCache>
            </c:numRef>
          </c:yVal>
          <c:smooth val="0"/>
        </c:ser>
        <c:axId val="23504708"/>
        <c:axId val="10215781"/>
      </c:scatterChart>
      <c:valAx>
        <c:axId val="23504708"/>
        <c:scaling>
          <c:orientation val="minMax"/>
        </c:scaling>
        <c:axPos val="b"/>
        <c:title>
          <c:tx>
            <c:rich>
              <a:bodyPr vert="horz" rot="0" anchor="ctr"/>
              <a:lstStyle/>
              <a:p>
                <a:pPr algn="ctr">
                  <a:defRPr/>
                </a:pPr>
                <a:r>
                  <a:rPr lang="en-US" cap="none" sz="1000" b="1" i="0" u="none" baseline="0">
                    <a:latin typeface="Arial"/>
                    <a:ea typeface="Arial"/>
                    <a:cs typeface="Arial"/>
                  </a:rPr>
                  <a:t>Capacité [10^6 m3]</a:t>
                </a:r>
              </a:p>
            </c:rich>
          </c:tx>
          <c:layout/>
          <c:overlay val="0"/>
          <c:spPr>
            <a:noFill/>
            <a:ln>
              <a:noFill/>
            </a:ln>
          </c:spPr>
        </c:title>
        <c:majorGridlines/>
        <c:minorGridlines/>
        <c:delete val="0"/>
        <c:numFmt formatCode="0.0" sourceLinked="0"/>
        <c:majorTickMark val="out"/>
        <c:minorTickMark val="none"/>
        <c:tickLblPos val="nextTo"/>
        <c:txPr>
          <a:bodyPr/>
          <a:lstStyle/>
          <a:p>
            <a:pPr>
              <a:defRPr lang="en-US" cap="none" sz="1000" b="0" i="0" u="none" baseline="0">
                <a:latin typeface="Arial"/>
                <a:ea typeface="Arial"/>
                <a:cs typeface="Arial"/>
              </a:defRPr>
            </a:pPr>
          </a:p>
        </c:txPr>
        <c:crossAx val="10215781"/>
        <c:crosses val="autoZero"/>
        <c:crossBetween val="midCat"/>
        <c:dispUnits/>
      </c:valAx>
      <c:valAx>
        <c:axId val="10215781"/>
        <c:scaling>
          <c:orientation val="minMax"/>
          <c:max val="100"/>
        </c:scaling>
        <c:axPos val="l"/>
        <c:title>
          <c:tx>
            <c:rich>
              <a:bodyPr vert="horz" rot="-5400000" anchor="ctr"/>
              <a:lstStyle/>
              <a:p>
                <a:pPr algn="ctr">
                  <a:defRPr/>
                </a:pPr>
                <a:r>
                  <a:rPr lang="en-US" cap="none" sz="1025" b="1" i="0" u="none" baseline="0">
                    <a:latin typeface="Arial"/>
                    <a:ea typeface="Arial"/>
                    <a:cs typeface="Arial"/>
                  </a:rPr>
                  <a:t>Performance</a:t>
                </a:r>
              </a:p>
            </c:rich>
          </c:tx>
          <c:layout/>
          <c:overlay val="0"/>
          <c:spPr>
            <a:noFill/>
            <a:ln>
              <a:noFill/>
            </a:ln>
          </c:spPr>
        </c:title>
        <c:delete val="0"/>
        <c:numFmt formatCode="0" sourceLinked="0"/>
        <c:majorTickMark val="out"/>
        <c:minorTickMark val="none"/>
        <c:tickLblPos val="nextTo"/>
        <c:txPr>
          <a:bodyPr/>
          <a:lstStyle/>
          <a:p>
            <a:pPr>
              <a:defRPr lang="en-US" cap="none" sz="1000" b="0" i="0" u="none" baseline="0">
                <a:latin typeface="Arial"/>
                <a:ea typeface="Arial"/>
                <a:cs typeface="Arial"/>
              </a:defRPr>
            </a:pPr>
          </a:p>
        </c:txPr>
        <c:crossAx val="23504708"/>
        <c:crosses val="autoZero"/>
        <c:crossBetween val="midCat"/>
        <c:dispUnits/>
      </c:valAx>
      <c:spPr>
        <a:noFill/>
        <a:ln w="12700">
          <a:solidFill>
            <a:srgbClr val="808080"/>
          </a:solidFill>
        </a:ln>
      </c:spPr>
    </c:plotArea>
    <c:legend>
      <c:legendPos val="r"/>
      <c:layout>
        <c:manualLayout>
          <c:xMode val="edge"/>
          <c:yMode val="edge"/>
          <c:x val="0.7825"/>
          <c:y val="0"/>
        </c:manualLayout>
      </c:layout>
      <c:overlay val="0"/>
      <c:txPr>
        <a:bodyPr vert="horz" rot="0"/>
        <a:lstStyle/>
        <a:p>
          <a:pPr>
            <a:defRPr lang="en-US" cap="none" sz="800" b="0" i="0" u="none" baseline="0">
              <a:latin typeface="Arial"/>
              <a:ea typeface="Arial"/>
              <a:cs typeface="Arial"/>
            </a:defRPr>
          </a:pPr>
        </a:p>
      </c:txPr>
    </c:legend>
    <c:plotVisOnly val="1"/>
    <c:dispBlanksAs val="gap"/>
    <c:showDLblsOverMax val="0"/>
  </c:chart>
  <c:txPr>
    <a:bodyPr vert="horz" rot="0"/>
    <a:lstStyle/>
    <a:p>
      <a:pPr>
        <a:defRPr lang="en-US" cap="none" sz="1025"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94"/>
  </sheetViews>
  <pageMargins left="0.75" right="0.75" top="1" bottom="1" header="0.5" footer="0.5"/>
  <pageSetup horizontalDpi="300" verticalDpi="3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 Id="rId3" Type="http://schemas.openxmlformats.org/officeDocument/2006/relationships/chart" Target="/xl/charts/chart8.xml" /><Relationship Id="rId4"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1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9525</xdr:rowOff>
    </xdr:from>
    <xdr:to>
      <xdr:col>6</xdr:col>
      <xdr:colOff>76200</xdr:colOff>
      <xdr:row>17</xdr:row>
      <xdr:rowOff>76200</xdr:rowOff>
    </xdr:to>
    <xdr:graphicFrame>
      <xdr:nvGraphicFramePr>
        <xdr:cNvPr id="1" name="Chart 3"/>
        <xdr:cNvGraphicFramePr/>
      </xdr:nvGraphicFramePr>
      <xdr:xfrm>
        <a:off x="66675" y="171450"/>
        <a:ext cx="4800600" cy="2667000"/>
      </xdr:xfrm>
      <a:graphic>
        <a:graphicData uri="http://schemas.openxmlformats.org/drawingml/2006/chart">
          <c:chart xmlns:c="http://schemas.openxmlformats.org/drawingml/2006/chart" r:id="rId1"/>
        </a:graphicData>
      </a:graphic>
    </xdr:graphicFrame>
    <xdr:clientData/>
  </xdr:twoCellAnchor>
  <xdr:twoCellAnchor>
    <xdr:from>
      <xdr:col>6</xdr:col>
      <xdr:colOff>152400</xdr:colOff>
      <xdr:row>1</xdr:row>
      <xdr:rowOff>9525</xdr:rowOff>
    </xdr:from>
    <xdr:to>
      <xdr:col>12</xdr:col>
      <xdr:colOff>238125</xdr:colOff>
      <xdr:row>17</xdr:row>
      <xdr:rowOff>76200</xdr:rowOff>
    </xdr:to>
    <xdr:graphicFrame>
      <xdr:nvGraphicFramePr>
        <xdr:cNvPr id="2" name="Chart 4"/>
        <xdr:cNvGraphicFramePr/>
      </xdr:nvGraphicFramePr>
      <xdr:xfrm>
        <a:off x="4943475" y="171450"/>
        <a:ext cx="4743450" cy="2667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18</xdr:row>
      <xdr:rowOff>28575</xdr:rowOff>
    </xdr:from>
    <xdr:to>
      <xdr:col>6</xdr:col>
      <xdr:colOff>104775</xdr:colOff>
      <xdr:row>35</xdr:row>
      <xdr:rowOff>9525</xdr:rowOff>
    </xdr:to>
    <xdr:graphicFrame>
      <xdr:nvGraphicFramePr>
        <xdr:cNvPr id="3" name="Chart 5"/>
        <xdr:cNvGraphicFramePr/>
      </xdr:nvGraphicFramePr>
      <xdr:xfrm>
        <a:off x="47625" y="2952750"/>
        <a:ext cx="4848225" cy="2733675"/>
      </xdr:xfrm>
      <a:graphic>
        <a:graphicData uri="http://schemas.openxmlformats.org/drawingml/2006/chart">
          <c:chart xmlns:c="http://schemas.openxmlformats.org/drawingml/2006/chart" r:id="rId3"/>
        </a:graphicData>
      </a:graphic>
    </xdr:graphicFrame>
    <xdr:clientData/>
  </xdr:twoCellAnchor>
  <xdr:twoCellAnchor>
    <xdr:from>
      <xdr:col>6</xdr:col>
      <xdr:colOff>171450</xdr:colOff>
      <xdr:row>18</xdr:row>
      <xdr:rowOff>9525</xdr:rowOff>
    </xdr:from>
    <xdr:to>
      <xdr:col>12</xdr:col>
      <xdr:colOff>247650</xdr:colOff>
      <xdr:row>35</xdr:row>
      <xdr:rowOff>0</xdr:rowOff>
    </xdr:to>
    <xdr:graphicFrame>
      <xdr:nvGraphicFramePr>
        <xdr:cNvPr id="4" name="Chart 11"/>
        <xdr:cNvGraphicFramePr/>
      </xdr:nvGraphicFramePr>
      <xdr:xfrm>
        <a:off x="4962525" y="2933700"/>
        <a:ext cx="4733925" cy="2743200"/>
      </xdr:xfrm>
      <a:graphic>
        <a:graphicData uri="http://schemas.openxmlformats.org/drawingml/2006/chart">
          <c:chart xmlns:c="http://schemas.openxmlformats.org/drawingml/2006/chart" r:id="rId4"/>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18</xdr:row>
      <xdr:rowOff>0</xdr:rowOff>
    </xdr:from>
    <xdr:to>
      <xdr:col>7</xdr:col>
      <xdr:colOff>533400</xdr:colOff>
      <xdr:row>35</xdr:row>
      <xdr:rowOff>142875</xdr:rowOff>
    </xdr:to>
    <xdr:graphicFrame>
      <xdr:nvGraphicFramePr>
        <xdr:cNvPr id="1" name="Chart 1"/>
        <xdr:cNvGraphicFramePr/>
      </xdr:nvGraphicFramePr>
      <xdr:xfrm>
        <a:off x="19050" y="2914650"/>
        <a:ext cx="4781550" cy="2895600"/>
      </xdr:xfrm>
      <a:graphic>
        <a:graphicData uri="http://schemas.openxmlformats.org/drawingml/2006/chart">
          <c:chart xmlns:c="http://schemas.openxmlformats.org/drawingml/2006/chart" r:id="rId1"/>
        </a:graphicData>
      </a:graphic>
    </xdr:graphicFrame>
    <xdr:clientData/>
  </xdr:twoCellAnchor>
  <xdr:twoCellAnchor>
    <xdr:from>
      <xdr:col>8</xdr:col>
      <xdr:colOff>0</xdr:colOff>
      <xdr:row>18</xdr:row>
      <xdr:rowOff>0</xdr:rowOff>
    </xdr:from>
    <xdr:to>
      <xdr:col>15</xdr:col>
      <xdr:colOff>523875</xdr:colOff>
      <xdr:row>35</xdr:row>
      <xdr:rowOff>133350</xdr:rowOff>
    </xdr:to>
    <xdr:graphicFrame>
      <xdr:nvGraphicFramePr>
        <xdr:cNvPr id="2" name="Chart 4"/>
        <xdr:cNvGraphicFramePr/>
      </xdr:nvGraphicFramePr>
      <xdr:xfrm>
        <a:off x="4876800" y="2914650"/>
        <a:ext cx="4762500" cy="2886075"/>
      </xdr:xfrm>
      <a:graphic>
        <a:graphicData uri="http://schemas.openxmlformats.org/drawingml/2006/chart">
          <c:chart xmlns:c="http://schemas.openxmlformats.org/drawingml/2006/chart" r:id="rId2"/>
        </a:graphicData>
      </a:graphic>
    </xdr:graphicFrame>
    <xdr:clientData/>
  </xdr:twoCellAnchor>
  <xdr:twoCellAnchor>
    <xdr:from>
      <xdr:col>0</xdr:col>
      <xdr:colOff>19050</xdr:colOff>
      <xdr:row>0</xdr:row>
      <xdr:rowOff>19050</xdr:rowOff>
    </xdr:from>
    <xdr:to>
      <xdr:col>7</xdr:col>
      <xdr:colOff>533400</xdr:colOff>
      <xdr:row>17</xdr:row>
      <xdr:rowOff>123825</xdr:rowOff>
    </xdr:to>
    <xdr:graphicFrame>
      <xdr:nvGraphicFramePr>
        <xdr:cNvPr id="3" name="Chart 5"/>
        <xdr:cNvGraphicFramePr/>
      </xdr:nvGraphicFramePr>
      <xdr:xfrm>
        <a:off x="19050" y="19050"/>
        <a:ext cx="4781550" cy="2857500"/>
      </xdr:xfrm>
      <a:graphic>
        <a:graphicData uri="http://schemas.openxmlformats.org/drawingml/2006/chart">
          <c:chart xmlns:c="http://schemas.openxmlformats.org/drawingml/2006/chart" r:id="rId3"/>
        </a:graphicData>
      </a:graphic>
    </xdr:graphicFrame>
    <xdr:clientData/>
  </xdr:twoCellAnchor>
  <xdr:twoCellAnchor>
    <xdr:from>
      <xdr:col>8</xdr:col>
      <xdr:colOff>19050</xdr:colOff>
      <xdr:row>4</xdr:row>
      <xdr:rowOff>85725</xdr:rowOff>
    </xdr:from>
    <xdr:to>
      <xdr:col>15</xdr:col>
      <xdr:colOff>495300</xdr:colOff>
      <xdr:row>17</xdr:row>
      <xdr:rowOff>95250</xdr:rowOff>
    </xdr:to>
    <xdr:sp>
      <xdr:nvSpPr>
        <xdr:cNvPr id="4" name="TextBox 6"/>
        <xdr:cNvSpPr txBox="1">
          <a:spLocks noChangeArrowheads="1"/>
        </xdr:cNvSpPr>
      </xdr:nvSpPr>
      <xdr:spPr>
        <a:xfrm>
          <a:off x="4895850" y="733425"/>
          <a:ext cx="4714875" cy="2114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Commentaire:
1) Pour chaque domaine, on trouve une capacité qui satisfait les trois critères. On peut améliorer la satisfaction des différents utilisateurs en augmentant la capacité.
2) Mais on voit que l'on ne peut pas satisfaire les trois domaines en même temps, notamment les objectifs de la pêche et de l'alimentation en eau potable sont contradictoires.
3) Que faire? Tester l'influence des objectifs sur le résultat (analyse de sensiblité) et trouver un compromis. Les profondeurs-objectif sont sans doute des grandeurs approximatives. Et on voit que si on augmente la profondeur maximale de 30m à 32m, on trouve une solution qui satisfait tous les domaines.</a:t>
          </a:r>
        </a:p>
      </xdr:txBody>
    </xdr:sp>
    <xdr:clientData/>
  </xdr:twoCellAnchor>
  <xdr:twoCellAnchor>
    <xdr:from>
      <xdr:col>0</xdr:col>
      <xdr:colOff>19050</xdr:colOff>
      <xdr:row>36</xdr:row>
      <xdr:rowOff>9525</xdr:rowOff>
    </xdr:from>
    <xdr:to>
      <xdr:col>7</xdr:col>
      <xdr:colOff>523875</xdr:colOff>
      <xdr:row>53</xdr:row>
      <xdr:rowOff>152400</xdr:rowOff>
    </xdr:to>
    <xdr:graphicFrame>
      <xdr:nvGraphicFramePr>
        <xdr:cNvPr id="5" name="Chart 7"/>
        <xdr:cNvGraphicFramePr/>
      </xdr:nvGraphicFramePr>
      <xdr:xfrm>
        <a:off x="19050" y="5838825"/>
        <a:ext cx="4772025" cy="28956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9525</xdr:colOff>
      <xdr:row>18</xdr:row>
      <xdr:rowOff>9525</xdr:rowOff>
    </xdr:from>
    <xdr:to>
      <xdr:col>15</xdr:col>
      <xdr:colOff>581025</xdr:colOff>
      <xdr:row>35</xdr:row>
      <xdr:rowOff>152400</xdr:rowOff>
    </xdr:to>
    <xdr:graphicFrame>
      <xdr:nvGraphicFramePr>
        <xdr:cNvPr id="1" name="Chart 2"/>
        <xdr:cNvGraphicFramePr/>
      </xdr:nvGraphicFramePr>
      <xdr:xfrm>
        <a:off x="4886325" y="2924175"/>
        <a:ext cx="4800600" cy="2895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0</xdr:row>
      <xdr:rowOff>19050</xdr:rowOff>
    </xdr:from>
    <xdr:to>
      <xdr:col>7</xdr:col>
      <xdr:colOff>561975</xdr:colOff>
      <xdr:row>17</xdr:row>
      <xdr:rowOff>123825</xdr:rowOff>
    </xdr:to>
    <xdr:graphicFrame>
      <xdr:nvGraphicFramePr>
        <xdr:cNvPr id="2" name="Chart 4"/>
        <xdr:cNvGraphicFramePr/>
      </xdr:nvGraphicFramePr>
      <xdr:xfrm>
        <a:off x="19050" y="19050"/>
        <a:ext cx="4810125" cy="2857500"/>
      </xdr:xfrm>
      <a:graphic>
        <a:graphicData uri="http://schemas.openxmlformats.org/drawingml/2006/chart">
          <c:chart xmlns:c="http://schemas.openxmlformats.org/drawingml/2006/chart" r:id="rId2"/>
        </a:graphicData>
      </a:graphic>
    </xdr:graphicFrame>
    <xdr:clientData/>
  </xdr:twoCellAnchor>
  <xdr:twoCellAnchor>
    <xdr:from>
      <xdr:col>8</xdr:col>
      <xdr:colOff>19050</xdr:colOff>
      <xdr:row>3</xdr:row>
      <xdr:rowOff>142875</xdr:rowOff>
    </xdr:from>
    <xdr:to>
      <xdr:col>15</xdr:col>
      <xdr:colOff>581025</xdr:colOff>
      <xdr:row>17</xdr:row>
      <xdr:rowOff>66675</xdr:rowOff>
    </xdr:to>
    <xdr:sp>
      <xdr:nvSpPr>
        <xdr:cNvPr id="3" name="TextBox 5"/>
        <xdr:cNvSpPr txBox="1">
          <a:spLocks noChangeArrowheads="1"/>
        </xdr:cNvSpPr>
      </xdr:nvSpPr>
      <xdr:spPr>
        <a:xfrm>
          <a:off x="4895850" y="628650"/>
          <a:ext cx="4791075" cy="21907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Commentaire:
1) Si on abaisse le seuil critique jusqu'à 20 % du remplissage on obtient une meilleure satisfaction de la demande, ce qui s'exprime également par une fiabilité et une résilience élevées. Mais la vulnérabilité est en même temps très élevée! On a un cas typique de contradiction des critères! Au gestionnaire de décider s'il veut prendre ce risque.
2) Pour les deux autres domaines, un abaissement du seuil critique diminue la fiabilité et la résilience pour augmenteur la vulnérabilité. On a alors une contradiction entre les différents intérêts. Modifier le seuil critique n'est pas une bonne solution!</a:t>
          </a:r>
        </a:p>
      </xdr:txBody>
    </xdr:sp>
    <xdr:clientData/>
  </xdr:twoCellAnchor>
  <xdr:twoCellAnchor>
    <xdr:from>
      <xdr:col>0</xdr:col>
      <xdr:colOff>28575</xdr:colOff>
      <xdr:row>18</xdr:row>
      <xdr:rowOff>0</xdr:rowOff>
    </xdr:from>
    <xdr:to>
      <xdr:col>7</xdr:col>
      <xdr:colOff>552450</xdr:colOff>
      <xdr:row>35</xdr:row>
      <xdr:rowOff>152400</xdr:rowOff>
    </xdr:to>
    <xdr:graphicFrame>
      <xdr:nvGraphicFramePr>
        <xdr:cNvPr id="4" name="Chart 6"/>
        <xdr:cNvGraphicFramePr/>
      </xdr:nvGraphicFramePr>
      <xdr:xfrm>
        <a:off x="28575" y="2914650"/>
        <a:ext cx="4791075" cy="2905125"/>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7</xdr:col>
      <xdr:colOff>581025</xdr:colOff>
      <xdr:row>54</xdr:row>
      <xdr:rowOff>19050</xdr:rowOff>
    </xdr:to>
    <xdr:graphicFrame>
      <xdr:nvGraphicFramePr>
        <xdr:cNvPr id="5" name="Chart 7"/>
        <xdr:cNvGraphicFramePr/>
      </xdr:nvGraphicFramePr>
      <xdr:xfrm>
        <a:off x="38100" y="5857875"/>
        <a:ext cx="4810125" cy="2905125"/>
      </xdr:xfrm>
      <a:graphic>
        <a:graphicData uri="http://schemas.openxmlformats.org/drawingml/2006/chart">
          <c:chart xmlns:c="http://schemas.openxmlformats.org/drawingml/2006/chart" r:id="rId4"/>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19050</xdr:rowOff>
    </xdr:from>
    <xdr:to>
      <xdr:col>7</xdr:col>
      <xdr:colOff>561975</xdr:colOff>
      <xdr:row>17</xdr:row>
      <xdr:rowOff>133350</xdr:rowOff>
    </xdr:to>
    <xdr:graphicFrame>
      <xdr:nvGraphicFramePr>
        <xdr:cNvPr id="1" name="Chart 4"/>
        <xdr:cNvGraphicFramePr/>
      </xdr:nvGraphicFramePr>
      <xdr:xfrm>
        <a:off x="9525" y="19050"/>
        <a:ext cx="4819650" cy="2867025"/>
      </xdr:xfrm>
      <a:graphic>
        <a:graphicData uri="http://schemas.openxmlformats.org/drawingml/2006/chart">
          <c:chart xmlns:c="http://schemas.openxmlformats.org/drawingml/2006/chart" r:id="rId1"/>
        </a:graphicData>
      </a:graphic>
    </xdr:graphicFrame>
    <xdr:clientData/>
  </xdr:twoCellAnchor>
  <xdr:twoCellAnchor>
    <xdr:from>
      <xdr:col>0</xdr:col>
      <xdr:colOff>28575</xdr:colOff>
      <xdr:row>18</xdr:row>
      <xdr:rowOff>0</xdr:rowOff>
    </xdr:from>
    <xdr:to>
      <xdr:col>7</xdr:col>
      <xdr:colOff>552450</xdr:colOff>
      <xdr:row>35</xdr:row>
      <xdr:rowOff>152400</xdr:rowOff>
    </xdr:to>
    <xdr:graphicFrame>
      <xdr:nvGraphicFramePr>
        <xdr:cNvPr id="2" name="Chart 5"/>
        <xdr:cNvGraphicFramePr/>
      </xdr:nvGraphicFramePr>
      <xdr:xfrm>
        <a:off x="28575" y="2914650"/>
        <a:ext cx="4791075" cy="290512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18</xdr:row>
      <xdr:rowOff>9525</xdr:rowOff>
    </xdr:from>
    <xdr:to>
      <xdr:col>15</xdr:col>
      <xdr:colOff>542925</xdr:colOff>
      <xdr:row>36</xdr:row>
      <xdr:rowOff>0</xdr:rowOff>
    </xdr:to>
    <xdr:graphicFrame>
      <xdr:nvGraphicFramePr>
        <xdr:cNvPr id="3" name="Chart 6"/>
        <xdr:cNvGraphicFramePr/>
      </xdr:nvGraphicFramePr>
      <xdr:xfrm>
        <a:off x="4876800" y="2924175"/>
        <a:ext cx="4810125" cy="2905125"/>
      </xdr:xfrm>
      <a:graphic>
        <a:graphicData uri="http://schemas.openxmlformats.org/drawingml/2006/chart">
          <c:chart xmlns:c="http://schemas.openxmlformats.org/drawingml/2006/chart" r:id="rId3"/>
        </a:graphicData>
      </a:graphic>
    </xdr:graphicFrame>
    <xdr:clientData/>
  </xdr:twoCellAnchor>
  <xdr:twoCellAnchor>
    <xdr:from>
      <xdr:col>8</xdr:col>
      <xdr:colOff>38100</xdr:colOff>
      <xdr:row>4</xdr:row>
      <xdr:rowOff>95250</xdr:rowOff>
    </xdr:from>
    <xdr:to>
      <xdr:col>15</xdr:col>
      <xdr:colOff>542925</xdr:colOff>
      <xdr:row>11</xdr:row>
      <xdr:rowOff>19050</xdr:rowOff>
    </xdr:to>
    <xdr:sp>
      <xdr:nvSpPr>
        <xdr:cNvPr id="4" name="TextBox 7"/>
        <xdr:cNvSpPr txBox="1">
          <a:spLocks noChangeArrowheads="1"/>
        </xdr:cNvSpPr>
      </xdr:nvSpPr>
      <xdr:spPr>
        <a:xfrm>
          <a:off x="4914900" y="742950"/>
          <a:ext cx="4772025" cy="10572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Commentaires:
1) Si on parvenait à diminuer la demande en eau jusqu'à 2000 m3/jour par rapport aux 7500 m3/jour actuellement demandés, ceci constituerai la solution la plus simple pour satisfaire tous les domaines. Peu réaliste!</a:t>
          </a:r>
        </a:p>
      </xdr:txBody>
    </xdr:sp>
    <xdr:clientData/>
  </xdr:twoCellAnchor>
  <xdr:twoCellAnchor>
    <xdr:from>
      <xdr:col>0</xdr:col>
      <xdr:colOff>28575</xdr:colOff>
      <xdr:row>36</xdr:row>
      <xdr:rowOff>57150</xdr:rowOff>
    </xdr:from>
    <xdr:to>
      <xdr:col>7</xdr:col>
      <xdr:colOff>561975</xdr:colOff>
      <xdr:row>54</xdr:row>
      <xdr:rowOff>57150</xdr:rowOff>
    </xdr:to>
    <xdr:graphicFrame>
      <xdr:nvGraphicFramePr>
        <xdr:cNvPr id="5" name="Chart 9"/>
        <xdr:cNvGraphicFramePr/>
      </xdr:nvGraphicFramePr>
      <xdr:xfrm>
        <a:off x="28575" y="5886450"/>
        <a:ext cx="4800600" cy="2914650"/>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19050</xdr:colOff>
      <xdr:row>0</xdr:row>
      <xdr:rowOff>85725</xdr:rowOff>
    </xdr:from>
    <xdr:to>
      <xdr:col>14</xdr:col>
      <xdr:colOff>400050</xdr:colOff>
      <xdr:row>20</xdr:row>
      <xdr:rowOff>95250</xdr:rowOff>
    </xdr:to>
    <xdr:graphicFrame>
      <xdr:nvGraphicFramePr>
        <xdr:cNvPr id="1" name="Chart 2"/>
        <xdr:cNvGraphicFramePr/>
      </xdr:nvGraphicFramePr>
      <xdr:xfrm>
        <a:off x="3819525" y="85725"/>
        <a:ext cx="5257800" cy="32480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15"/>
  <sheetViews>
    <sheetView tabSelected="1" workbookViewId="0" topLeftCell="A1">
      <selection activeCell="D10" sqref="D10"/>
    </sheetView>
  </sheetViews>
  <sheetFormatPr defaultColWidth="9.140625" defaultRowHeight="12.75"/>
  <cols>
    <col min="1" max="1" width="10.421875" style="0" customWidth="1"/>
    <col min="2" max="2" width="13.00390625" style="0" customWidth="1"/>
    <col min="3" max="3" width="12.7109375" style="0" customWidth="1"/>
    <col min="4" max="4" width="31.8515625" style="0" customWidth="1"/>
    <col min="5" max="5" width="18.28125" style="0" customWidth="1"/>
    <col min="7" max="7" width="5.57421875" style="0" customWidth="1"/>
  </cols>
  <sheetData>
    <row r="1" ht="12.75">
      <c r="A1" s="13" t="s">
        <v>55</v>
      </c>
    </row>
    <row r="2" spans="1:4" ht="12.75">
      <c r="A2" s="13"/>
      <c r="B2" s="13"/>
      <c r="C2" s="13"/>
      <c r="D2" s="13"/>
    </row>
    <row r="3" spans="1:4" ht="12.75">
      <c r="A3" s="13" t="s">
        <v>59</v>
      </c>
      <c r="B3" s="13" t="s">
        <v>60</v>
      </c>
      <c r="C3" s="13" t="s">
        <v>61</v>
      </c>
      <c r="D3" s="13" t="s">
        <v>62</v>
      </c>
    </row>
    <row r="4" spans="1:4" ht="12.75">
      <c r="A4" t="s">
        <v>56</v>
      </c>
      <c r="B4" t="s">
        <v>3</v>
      </c>
      <c r="C4" t="s">
        <v>53</v>
      </c>
      <c r="D4" s="2" t="s">
        <v>63</v>
      </c>
    </row>
    <row r="5" spans="1:4" ht="12.75">
      <c r="A5" t="s">
        <v>56</v>
      </c>
      <c r="B5" t="s">
        <v>4</v>
      </c>
      <c r="C5" t="s">
        <v>57</v>
      </c>
      <c r="D5" s="2" t="s">
        <v>209</v>
      </c>
    </row>
    <row r="6" ht="12.75">
      <c r="D6" t="s">
        <v>64</v>
      </c>
    </row>
    <row r="7" spans="1:4" ht="12.75">
      <c r="A7" t="s">
        <v>169</v>
      </c>
      <c r="B7" t="s">
        <v>5</v>
      </c>
      <c r="C7" t="s">
        <v>58</v>
      </c>
      <c r="D7" s="2" t="s">
        <v>170</v>
      </c>
    </row>
    <row r="8" spans="4:5" ht="12.75">
      <c r="D8" t="s">
        <v>171</v>
      </c>
      <c r="E8" s="2" t="s">
        <v>181</v>
      </c>
    </row>
    <row r="9" spans="4:5" ht="12.75">
      <c r="D9" t="s">
        <v>172</v>
      </c>
      <c r="E9" s="2" t="s">
        <v>182</v>
      </c>
    </row>
    <row r="10" spans="4:5" ht="12.75">
      <c r="D10" t="s">
        <v>173</v>
      </c>
      <c r="E10" s="2" t="s">
        <v>183</v>
      </c>
    </row>
    <row r="13" spans="1:3" ht="12.75">
      <c r="A13" s="110" t="s">
        <v>207</v>
      </c>
      <c r="B13" s="111" t="s">
        <v>208</v>
      </c>
      <c r="C13" s="111"/>
    </row>
    <row r="15" spans="1:3" ht="15.75">
      <c r="A15" s="108" t="s">
        <v>205</v>
      </c>
      <c r="C15" s="109" t="s">
        <v>206</v>
      </c>
    </row>
  </sheetData>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P42"/>
  <sheetViews>
    <sheetView workbookViewId="0" topLeftCell="A12">
      <selection activeCell="E18" sqref="E18"/>
    </sheetView>
  </sheetViews>
  <sheetFormatPr defaultColWidth="9.140625" defaultRowHeight="12.75"/>
  <cols>
    <col min="1" max="1" width="21.140625" style="0" customWidth="1"/>
    <col min="11" max="11" width="10.7109375" style="0" customWidth="1"/>
  </cols>
  <sheetData>
    <row r="1" ht="15">
      <c r="A1" s="68" t="s">
        <v>229</v>
      </c>
    </row>
    <row r="3" s="31" customFormat="1" ht="12.75">
      <c r="A3" s="44" t="s">
        <v>147</v>
      </c>
    </row>
    <row r="4" s="31" customFormat="1" ht="12.75"/>
    <row r="5" spans="1:15" s="31" customFormat="1" ht="12.75">
      <c r="A5" s="44" t="s">
        <v>144</v>
      </c>
      <c r="B5" s="45">
        <f>'Résumé scénarios'!R8</f>
        <v>100000</v>
      </c>
      <c r="C5" s="45">
        <f>'Résumé scénarios'!S8</f>
        <v>200000</v>
      </c>
      <c r="D5" s="45">
        <f>'Résumé scénarios'!T8</f>
        <v>300000</v>
      </c>
      <c r="E5" s="45">
        <f>'Résumé scénarios'!U8</f>
        <v>500000</v>
      </c>
      <c r="F5" s="45">
        <f>'Résumé scénarios'!V8</f>
        <v>800000</v>
      </c>
      <c r="G5" s="45">
        <f>'Résumé scénarios'!W8</f>
        <v>1000000</v>
      </c>
      <c r="H5" s="45">
        <f>'Résumé scénarios'!X8</f>
        <v>1100000</v>
      </c>
      <c r="I5" s="45">
        <f>'Résumé scénarios'!Y8</f>
        <v>1500000</v>
      </c>
      <c r="J5" s="45">
        <f>'Résumé scénarios'!Z8</f>
        <v>2000000</v>
      </c>
      <c r="K5" s="45">
        <f>'Résumé scénarios'!AA8</f>
        <v>2500000</v>
      </c>
      <c r="L5" s="45">
        <f>'Résumé scénarios'!AB8</f>
        <v>3000000</v>
      </c>
      <c r="M5" s="45">
        <f>'Résumé scénarios'!AC8</f>
        <v>3500000</v>
      </c>
      <c r="N5" s="45">
        <f>'Résumé scénarios'!AD8</f>
        <v>4500000</v>
      </c>
      <c r="O5" s="45">
        <f>'Résumé scénarios'!AE8</f>
        <v>5000000</v>
      </c>
    </row>
    <row r="6" spans="1:16" s="31" customFormat="1" ht="12.75">
      <c r="A6" s="44" t="s">
        <v>145</v>
      </c>
      <c r="B6" s="46">
        <f aca="true" t="shared" si="0" ref="B6:O6">B5/1000/1000</f>
        <v>0.1</v>
      </c>
      <c r="C6" s="46">
        <f t="shared" si="0"/>
        <v>0.2</v>
      </c>
      <c r="D6" s="46">
        <f t="shared" si="0"/>
        <v>0.3</v>
      </c>
      <c r="E6" s="46">
        <f t="shared" si="0"/>
        <v>0.5</v>
      </c>
      <c r="F6" s="46">
        <f t="shared" si="0"/>
        <v>0.8</v>
      </c>
      <c r="G6" s="46">
        <f t="shared" si="0"/>
        <v>1</v>
      </c>
      <c r="H6" s="46">
        <f t="shared" si="0"/>
        <v>1.1</v>
      </c>
      <c r="I6" s="46">
        <f t="shared" si="0"/>
        <v>1.5</v>
      </c>
      <c r="J6" s="46">
        <f t="shared" si="0"/>
        <v>2</v>
      </c>
      <c r="K6" s="46">
        <f t="shared" si="0"/>
        <v>2.5</v>
      </c>
      <c r="L6" s="46">
        <f t="shared" si="0"/>
        <v>3</v>
      </c>
      <c r="M6" s="46">
        <f t="shared" si="0"/>
        <v>3.5</v>
      </c>
      <c r="N6" s="46">
        <f t="shared" si="0"/>
        <v>4.5</v>
      </c>
      <c r="O6" s="46">
        <f t="shared" si="0"/>
        <v>5</v>
      </c>
      <c r="P6" s="45"/>
    </row>
    <row r="7" spans="1:16" s="31" customFormat="1" ht="12.75">
      <c r="A7" s="31" t="s">
        <v>53</v>
      </c>
      <c r="B7" s="47">
        <f>'Résumé scénarios'!R23</f>
        <v>33.3333333333333</v>
      </c>
      <c r="C7" s="47">
        <f>'Résumé scénarios'!S23</f>
        <v>40</v>
      </c>
      <c r="D7" s="47">
        <f>'Résumé scénarios'!T23</f>
        <v>44.1666666666667</v>
      </c>
      <c r="E7" s="47">
        <f>'Résumé scénarios'!U23</f>
        <v>47.5</v>
      </c>
      <c r="F7" s="47">
        <f>'Résumé scénarios'!V23</f>
        <v>50.8333333333333</v>
      </c>
      <c r="G7" s="47">
        <f>'Résumé scénarios'!W23</f>
        <v>54.1666666666667</v>
      </c>
      <c r="H7" s="47">
        <f>'Résumé scénarios'!X23</f>
        <v>54.1666666666667</v>
      </c>
      <c r="I7" s="47">
        <f>'Résumé scénarios'!Y23</f>
        <v>56.6666666666667</v>
      </c>
      <c r="J7" s="47">
        <f>'Résumé scénarios'!Z23</f>
        <v>59.1666666666667</v>
      </c>
      <c r="K7" s="47">
        <f>'Résumé scénarios'!AA23</f>
        <v>59.1666666666667</v>
      </c>
      <c r="L7" s="47">
        <f>'Résumé scénarios'!AB23</f>
        <v>59.1666666666667</v>
      </c>
      <c r="M7" s="47">
        <f>'Résumé scénarios'!AC23</f>
        <v>59.1666666666667</v>
      </c>
      <c r="N7" s="47">
        <f>'Résumé scénarios'!AD23</f>
        <v>59.1666666666667</v>
      </c>
      <c r="O7" s="47">
        <f>'Résumé scénarios'!AE23</f>
        <v>59.1666666666667</v>
      </c>
      <c r="P7" s="47"/>
    </row>
    <row r="8" spans="1:16" s="31" customFormat="1" ht="12.75">
      <c r="A8" s="31" t="s">
        <v>57</v>
      </c>
      <c r="B8" s="47">
        <f>'Résumé scénarios'!R24</f>
        <v>25</v>
      </c>
      <c r="C8" s="47">
        <f>'Résumé scénarios'!S24</f>
        <v>25</v>
      </c>
      <c r="D8" s="47">
        <f>'Résumé scénarios'!T24</f>
        <v>23.8805970149254</v>
      </c>
      <c r="E8" s="47">
        <f>'Résumé scénarios'!U24</f>
        <v>23.8095238095238</v>
      </c>
      <c r="F8" s="47">
        <f>'Résumé scénarios'!V24</f>
        <v>23.728813559322</v>
      </c>
      <c r="G8" s="47">
        <f>'Résumé scénarios'!W24</f>
        <v>21.8181818181818</v>
      </c>
      <c r="H8" s="47">
        <f>'Résumé scénarios'!X24</f>
        <v>21.8181818181818</v>
      </c>
      <c r="I8" s="47">
        <f>'Résumé scénarios'!Y24</f>
        <v>21.1538461538462</v>
      </c>
      <c r="J8" s="47">
        <f>'Résumé scénarios'!Z24</f>
        <v>22.4489795918367</v>
      </c>
      <c r="K8" s="47">
        <f>'Résumé scénarios'!AA24</f>
        <v>22.4489795918367</v>
      </c>
      <c r="L8" s="47">
        <f>'Résumé scénarios'!AB24</f>
        <v>22.4489795918367</v>
      </c>
      <c r="M8" s="47">
        <f>'Résumé scénarios'!AC24</f>
        <v>22.4489795918367</v>
      </c>
      <c r="N8" s="47">
        <f>'Résumé scénarios'!AD24</f>
        <v>22.4489795918367</v>
      </c>
      <c r="O8" s="47">
        <f>'Résumé scénarios'!AE24</f>
        <v>22.4489795918367</v>
      </c>
      <c r="P8" s="47"/>
    </row>
    <row r="9" spans="1:16" s="31" customFormat="1" ht="12.75">
      <c r="A9" s="31" t="s">
        <v>186</v>
      </c>
      <c r="B9" s="47">
        <f>'Résumé scénarios'!R25</f>
        <v>0.962877440860445</v>
      </c>
      <c r="C9" s="47">
        <f>'Résumé scénarios'!S25</f>
        <v>0.925754881720891</v>
      </c>
      <c r="D9" s="47">
        <f>'Résumé scénarios'!T25</f>
        <v>0.888632322581336</v>
      </c>
      <c r="E9" s="47">
        <f>'Résumé scénarios'!U25</f>
        <v>0.830563326946756</v>
      </c>
      <c r="F9" s="47">
        <f>'Résumé scénarios'!V25</f>
        <v>0.830563326946756</v>
      </c>
      <c r="G9" s="47">
        <f>'Résumé scénarios'!W25</f>
        <v>0.830563326946756</v>
      </c>
      <c r="H9" s="47">
        <f>'Résumé scénarios'!X25</f>
        <v>0.830563326946756</v>
      </c>
      <c r="I9" s="47">
        <f>'Résumé scénarios'!Y25</f>
        <v>0.830563326946756</v>
      </c>
      <c r="J9" s="47">
        <f>'Résumé scénarios'!Z25</f>
        <v>0.830563326946756</v>
      </c>
      <c r="K9" s="47">
        <f>'Résumé scénarios'!AA25</f>
        <v>0.830563326946756</v>
      </c>
      <c r="L9" s="47">
        <f>'Résumé scénarios'!AB25</f>
        <v>0.830563326946756</v>
      </c>
      <c r="M9" s="47">
        <f>'Résumé scénarios'!AC25</f>
        <v>0.830563326946756</v>
      </c>
      <c r="N9" s="47">
        <f>'Résumé scénarios'!AD25</f>
        <v>0.830563326946756</v>
      </c>
      <c r="O9" s="47">
        <f>'Résumé scénarios'!AE25</f>
        <v>0.830563326946756</v>
      </c>
      <c r="P9" s="50"/>
    </row>
    <row r="10" spans="1:16" s="31" customFormat="1" ht="12.75">
      <c r="A10" s="31" t="s">
        <v>187</v>
      </c>
      <c r="B10" s="48">
        <f aca="true" t="shared" si="1" ref="B10:O10">B9*100</f>
        <v>96.2877440860445</v>
      </c>
      <c r="C10" s="48">
        <f t="shared" si="1"/>
        <v>92.57548817208911</v>
      </c>
      <c r="D10" s="48">
        <f t="shared" si="1"/>
        <v>88.86323225813359</v>
      </c>
      <c r="E10" s="48">
        <f t="shared" si="1"/>
        <v>83.0563326946756</v>
      </c>
      <c r="F10" s="48">
        <f t="shared" si="1"/>
        <v>83.0563326946756</v>
      </c>
      <c r="G10" s="48">
        <f t="shared" si="1"/>
        <v>83.0563326946756</v>
      </c>
      <c r="H10" s="48">
        <f t="shared" si="1"/>
        <v>83.0563326946756</v>
      </c>
      <c r="I10" s="48">
        <f t="shared" si="1"/>
        <v>83.0563326946756</v>
      </c>
      <c r="J10" s="48">
        <f t="shared" si="1"/>
        <v>83.0563326946756</v>
      </c>
      <c r="K10" s="48">
        <f t="shared" si="1"/>
        <v>83.0563326946756</v>
      </c>
      <c r="L10" s="48">
        <f t="shared" si="1"/>
        <v>83.0563326946756</v>
      </c>
      <c r="M10" s="48">
        <f t="shared" si="1"/>
        <v>83.0563326946756</v>
      </c>
      <c r="N10" s="48">
        <f t="shared" si="1"/>
        <v>83.0563326946756</v>
      </c>
      <c r="O10" s="48">
        <f t="shared" si="1"/>
        <v>83.0563326946756</v>
      </c>
      <c r="P10" s="48"/>
    </row>
    <row r="11" spans="1:7" s="31" customFormat="1" ht="12.75">
      <c r="A11" s="30"/>
      <c r="B11" s="49"/>
      <c r="C11" s="49"/>
      <c r="D11" s="51"/>
      <c r="E11" s="52"/>
      <c r="F11" s="49"/>
      <c r="G11" s="49"/>
    </row>
    <row r="12" spans="1:7" s="31" customFormat="1" ht="12.75">
      <c r="A12" s="30"/>
      <c r="B12" s="49"/>
      <c r="C12" s="49"/>
      <c r="D12" s="51"/>
      <c r="E12" s="52"/>
      <c r="F12" s="49"/>
      <c r="G12" s="49"/>
    </row>
    <row r="13" spans="1:7" s="31" customFormat="1" ht="12.75">
      <c r="A13" s="31" t="s">
        <v>83</v>
      </c>
      <c r="B13" s="31">
        <v>0.5</v>
      </c>
      <c r="C13" s="31" t="s">
        <v>84</v>
      </c>
      <c r="E13" s="52"/>
      <c r="F13" s="49"/>
      <c r="G13" s="49"/>
    </row>
    <row r="14" spans="1:7" s="31" customFormat="1" ht="12.75">
      <c r="A14" s="31" t="s">
        <v>69</v>
      </c>
      <c r="B14" s="31">
        <v>7.5</v>
      </c>
      <c r="C14" s="31" t="s">
        <v>82</v>
      </c>
      <c r="E14" s="52"/>
      <c r="F14" s="49"/>
      <c r="G14" s="49"/>
    </row>
    <row r="15" spans="5:7" s="31" customFormat="1" ht="12.75">
      <c r="E15" s="52"/>
      <c r="F15" s="49"/>
      <c r="G15" s="49"/>
    </row>
    <row r="16" spans="5:7" s="31" customFormat="1" ht="12.75">
      <c r="E16" s="49"/>
      <c r="F16" s="49"/>
      <c r="G16" s="49"/>
    </row>
    <row r="17" spans="2:7" ht="12.75">
      <c r="B17" s="4"/>
      <c r="C17" s="4"/>
      <c r="D17" s="4"/>
      <c r="E17" s="4"/>
      <c r="F17" s="4"/>
      <c r="G17" s="4"/>
    </row>
    <row r="18" s="53" customFormat="1" ht="12.75" customHeight="1">
      <c r="A18" s="54" t="s">
        <v>148</v>
      </c>
    </row>
    <row r="19" s="53" customFormat="1" ht="12.75"/>
    <row r="20" spans="1:8" s="53" customFormat="1" ht="12.75">
      <c r="A20" s="54" t="s">
        <v>81</v>
      </c>
      <c r="B20" s="54">
        <f>'Résumé scénarios'!K7</f>
        <v>0</v>
      </c>
      <c r="C20" s="54">
        <f>'Résumé scénarios'!L7</f>
        <v>0.2</v>
      </c>
      <c r="D20" s="54">
        <f>'Résumé scénarios'!M7</f>
        <v>0.4</v>
      </c>
      <c r="E20" s="54">
        <f>'Résumé scénarios'!N7</f>
        <v>0.5</v>
      </c>
      <c r="F20" s="54">
        <f>'Résumé scénarios'!O7</f>
        <v>0.6</v>
      </c>
      <c r="G20" s="54">
        <f>'Résumé scénarios'!P7</f>
        <v>0.8</v>
      </c>
      <c r="H20" s="54">
        <f>'Résumé scénarios'!Q7</f>
        <v>0.9</v>
      </c>
    </row>
    <row r="21" spans="1:8" s="53" customFormat="1" ht="12.75">
      <c r="A21" s="53" t="s">
        <v>3</v>
      </c>
      <c r="B21" s="55">
        <f>'Résumé scénarios'!K23</f>
        <v>57.5</v>
      </c>
      <c r="C21" s="55">
        <f>'Résumé scénarios'!L23</f>
        <v>56.6666666666667</v>
      </c>
      <c r="D21" s="55">
        <f>'Résumé scénarios'!M23</f>
        <v>55.8333333333333</v>
      </c>
      <c r="E21" s="55">
        <f>'Résumé scénarios'!N23</f>
        <v>54.1666666666667</v>
      </c>
      <c r="F21" s="55">
        <f>'Résumé scénarios'!O23</f>
        <v>50.8333333333333</v>
      </c>
      <c r="G21" s="55">
        <f>'Résumé scénarios'!P23</f>
        <v>47.5</v>
      </c>
      <c r="H21" s="55">
        <f>'Résumé scénarios'!Q23</f>
        <v>47.5</v>
      </c>
    </row>
    <row r="22" spans="1:8" s="53" customFormat="1" ht="12.75">
      <c r="A22" s="53" t="s">
        <v>4</v>
      </c>
      <c r="B22" s="55">
        <f>'Résumé scénarios'!K24</f>
        <v>21.5686274509804</v>
      </c>
      <c r="C22" s="55">
        <f>'Résumé scénarios'!L24</f>
        <v>21.1538461538462</v>
      </c>
      <c r="D22" s="55">
        <f>'Résumé scénarios'!M24</f>
        <v>22.6415094339623</v>
      </c>
      <c r="E22" s="55">
        <f>'Résumé scénarios'!N24</f>
        <v>21.8181818181818</v>
      </c>
      <c r="F22" s="55">
        <f>'Résumé scénarios'!O24</f>
        <v>23.728813559322</v>
      </c>
      <c r="G22" s="55">
        <f>'Résumé scénarios'!P24</f>
        <v>23.8095238095238</v>
      </c>
      <c r="H22" s="55">
        <f>'Résumé scénarios'!Q24</f>
        <v>23.8095238095238</v>
      </c>
    </row>
    <row r="23" spans="1:8" s="53" customFormat="1" ht="12.75">
      <c r="A23" s="53" t="s">
        <v>186</v>
      </c>
      <c r="B23" s="55">
        <f>'Résumé scénarios'!K25</f>
        <v>0.830563326946756</v>
      </c>
      <c r="C23" s="55">
        <f>'Résumé scénarios'!L25</f>
        <v>0.830563326946756</v>
      </c>
      <c r="D23" s="55">
        <f>'Résumé scénarios'!M25</f>
        <v>0.830563326946756</v>
      </c>
      <c r="E23" s="55">
        <f>'Résumé scénarios'!N25</f>
        <v>0.830563326946756</v>
      </c>
      <c r="F23" s="55">
        <f>'Résumé scénarios'!O25</f>
        <v>0.830563326946756</v>
      </c>
      <c r="G23" s="55">
        <f>'Résumé scénarios'!P25</f>
        <v>0.87290624596531</v>
      </c>
      <c r="H23" s="55">
        <f>'Résumé scénarios'!Q25</f>
        <v>0.87290624596531</v>
      </c>
    </row>
    <row r="24" spans="1:8" s="53" customFormat="1" ht="12.75">
      <c r="A24" s="53" t="s">
        <v>187</v>
      </c>
      <c r="B24" s="55">
        <f aca="true" t="shared" si="2" ref="B24:H24">B23*100</f>
        <v>83.0563326946756</v>
      </c>
      <c r="C24" s="55">
        <f t="shared" si="2"/>
        <v>83.0563326946756</v>
      </c>
      <c r="D24" s="55">
        <f t="shared" si="2"/>
        <v>83.0563326946756</v>
      </c>
      <c r="E24" s="55">
        <f t="shared" si="2"/>
        <v>83.0563326946756</v>
      </c>
      <c r="F24" s="55">
        <f t="shared" si="2"/>
        <v>83.0563326946756</v>
      </c>
      <c r="G24" s="55">
        <f t="shared" si="2"/>
        <v>87.290624596531</v>
      </c>
      <c r="H24" s="55">
        <f t="shared" si="2"/>
        <v>87.290624596531</v>
      </c>
    </row>
    <row r="25" spans="2:7" s="53" customFormat="1" ht="12.75">
      <c r="B25" s="55"/>
      <c r="C25" s="55"/>
      <c r="D25" s="55"/>
      <c r="E25" s="55"/>
      <c r="F25" s="55"/>
      <c r="G25" s="55"/>
    </row>
    <row r="26" spans="2:7" s="53" customFormat="1" ht="12.75">
      <c r="B26" s="55"/>
      <c r="C26" s="55"/>
      <c r="D26" s="55"/>
      <c r="E26" s="55"/>
      <c r="F26" s="55"/>
      <c r="G26" s="55"/>
    </row>
    <row r="27" spans="1:7" s="53" customFormat="1" ht="12.75">
      <c r="A27" s="53" t="s">
        <v>79</v>
      </c>
      <c r="B27" s="53">
        <v>1000000</v>
      </c>
      <c r="C27" s="53" t="s">
        <v>2</v>
      </c>
      <c r="D27" s="55"/>
      <c r="E27" s="55"/>
      <c r="F27" s="55"/>
      <c r="G27" s="55"/>
    </row>
    <row r="28" spans="1:7" s="53" customFormat="1" ht="12.75">
      <c r="A28" s="53" t="s">
        <v>69</v>
      </c>
      <c r="B28" s="53">
        <v>7.5</v>
      </c>
      <c r="C28" s="53" t="s">
        <v>82</v>
      </c>
      <c r="D28" s="55"/>
      <c r="E28" s="55"/>
      <c r="F28" s="55"/>
      <c r="G28" s="55"/>
    </row>
    <row r="29" spans="4:7" s="53" customFormat="1" ht="12.75">
      <c r="D29" s="55"/>
      <c r="E29" s="55"/>
      <c r="F29" s="55"/>
      <c r="G29" s="55"/>
    </row>
    <row r="30" spans="4:7" s="53" customFormat="1" ht="12.75">
      <c r="D30" s="55"/>
      <c r="E30" s="55"/>
      <c r="F30" s="55"/>
      <c r="G30" s="55"/>
    </row>
    <row r="32" s="56" customFormat="1" ht="12.75">
      <c r="A32" s="57" t="s">
        <v>149</v>
      </c>
    </row>
    <row r="33" s="56" customFormat="1" ht="12.75"/>
    <row r="34" spans="1:8" s="56" customFormat="1" ht="12.75">
      <c r="A34" s="57" t="s">
        <v>146</v>
      </c>
      <c r="B34" s="57">
        <f>'Résumé scénarios'!E6</f>
        <v>2</v>
      </c>
      <c r="C34" s="57">
        <f>'Résumé scénarios'!F6</f>
        <v>5</v>
      </c>
      <c r="D34" s="57">
        <f>'Résumé scénarios'!G6</f>
        <v>7.5</v>
      </c>
      <c r="E34" s="57">
        <f>'Résumé scénarios'!H6</f>
        <v>10</v>
      </c>
      <c r="F34" s="57">
        <f>'Résumé scénarios'!I6</f>
        <v>10</v>
      </c>
      <c r="G34" s="57">
        <f>'Résumé scénarios'!J6</f>
        <v>15</v>
      </c>
      <c r="H34" s="57"/>
    </row>
    <row r="35" spans="1:7" s="56" customFormat="1" ht="12.75">
      <c r="A35" s="58" t="s">
        <v>3</v>
      </c>
      <c r="B35" s="59">
        <f>'Résumé scénarios'!E23</f>
        <v>35.8333333333333</v>
      </c>
      <c r="C35" s="59">
        <f>'Résumé scénarios'!F23</f>
        <v>48.3333333333333</v>
      </c>
      <c r="D35" s="59">
        <f>'Résumé scénarios'!G23</f>
        <v>54.1666666666667</v>
      </c>
      <c r="E35" s="59">
        <f>'Résumé scénarios'!H23</f>
        <v>56.6666666666667</v>
      </c>
      <c r="F35" s="59">
        <f>'Résumé scénarios'!I23</f>
        <v>56.6666666666667</v>
      </c>
      <c r="G35" s="59">
        <f>'Résumé scénarios'!J23</f>
        <v>66.6666666666667</v>
      </c>
    </row>
    <row r="36" spans="1:7" s="56" customFormat="1" ht="12.75">
      <c r="A36" s="58" t="s">
        <v>4</v>
      </c>
      <c r="B36" s="59">
        <f>'Résumé scénarios'!E24</f>
        <v>20.7792207792208</v>
      </c>
      <c r="C36" s="59">
        <f>'Résumé scénarios'!F24</f>
        <v>24.1935483870968</v>
      </c>
      <c r="D36" s="59">
        <f>'Résumé scénarios'!G24</f>
        <v>21.8181818181818</v>
      </c>
      <c r="E36" s="59">
        <f>'Résumé scénarios'!H24</f>
        <v>23.0769230769231</v>
      </c>
      <c r="F36" s="59">
        <f>'Résumé scénarios'!I24</f>
        <v>23.0769230769231</v>
      </c>
      <c r="G36" s="59">
        <f>'Résumé scénarios'!J24</f>
        <v>35</v>
      </c>
    </row>
    <row r="37" spans="1:7" s="56" customFormat="1" ht="12.75">
      <c r="A37" s="58" t="s">
        <v>186</v>
      </c>
      <c r="B37" s="59">
        <f>'Résumé scénarios'!E25</f>
        <v>0.977417109856771</v>
      </c>
      <c r="C37" s="59">
        <f>'Résumé scénarios'!F25</f>
        <v>0.915249164983865</v>
      </c>
      <c r="D37" s="59">
        <f>'Résumé scénarios'!G25</f>
        <v>0.830563326946756</v>
      </c>
      <c r="E37" s="59">
        <f>'Résumé scénarios'!H25</f>
        <v>0.769035811220071</v>
      </c>
      <c r="F37" s="59">
        <f>'Résumé scénarios'!I25</f>
        <v>0.769035811220071</v>
      </c>
      <c r="G37" s="59">
        <f>'Résumé scénarios'!J25</f>
        <v>0.712578585861998</v>
      </c>
    </row>
    <row r="38" spans="1:7" s="56" customFormat="1" ht="12.75">
      <c r="A38" s="58" t="s">
        <v>187</v>
      </c>
      <c r="B38" s="59">
        <f aca="true" t="shared" si="3" ref="B38:G38">B37*100</f>
        <v>97.7417109856771</v>
      </c>
      <c r="C38" s="59">
        <f t="shared" si="3"/>
        <v>91.5249164983865</v>
      </c>
      <c r="D38" s="59">
        <f t="shared" si="3"/>
        <v>83.0563326946756</v>
      </c>
      <c r="E38" s="59">
        <f t="shared" si="3"/>
        <v>76.9035811220071</v>
      </c>
      <c r="F38" s="59">
        <f t="shared" si="3"/>
        <v>76.9035811220071</v>
      </c>
      <c r="G38" s="59">
        <f t="shared" si="3"/>
        <v>71.2578585861998</v>
      </c>
    </row>
    <row r="39" spans="1:7" s="56" customFormat="1" ht="12.75">
      <c r="A39" s="58"/>
      <c r="B39" s="59"/>
      <c r="C39" s="59"/>
      <c r="D39" s="59"/>
      <c r="E39" s="59"/>
      <c r="F39" s="59"/>
      <c r="G39" s="59"/>
    </row>
    <row r="40" s="56" customFormat="1" ht="12.75"/>
    <row r="41" spans="1:3" s="56" customFormat="1" ht="12.75">
      <c r="A41" s="56" t="s">
        <v>79</v>
      </c>
      <c r="B41" s="62">
        <v>1000000</v>
      </c>
      <c r="C41" s="56" t="s">
        <v>2</v>
      </c>
    </row>
    <row r="42" spans="1:3" s="56" customFormat="1" ht="12.75">
      <c r="A42" s="56" t="s">
        <v>150</v>
      </c>
      <c r="B42" s="56">
        <v>0.5</v>
      </c>
      <c r="C42" s="56" t="s">
        <v>84</v>
      </c>
    </row>
    <row r="43" s="56" customFormat="1" ht="12.75"/>
    <row r="44" s="56" customFormat="1" ht="12.75"/>
  </sheetData>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I2:M3"/>
  <sheetViews>
    <sheetView zoomScale="75" zoomScaleNormal="75" workbookViewId="0" topLeftCell="A1">
      <selection activeCell="J50" sqref="J50"/>
    </sheetView>
  </sheetViews>
  <sheetFormatPr defaultColWidth="9.140625" defaultRowHeight="12.75"/>
  <cols>
    <col min="10" max="10" width="8.7109375" style="0" customWidth="1"/>
  </cols>
  <sheetData>
    <row r="2" spans="9:13" ht="12.75">
      <c r="I2" t="str">
        <f>res_alimentation!A13</f>
        <v>Niveau critique</v>
      </c>
      <c r="L2">
        <f>res_alimentation!B13</f>
        <v>0.5</v>
      </c>
      <c r="M2" t="str">
        <f>res_alimentation!C13</f>
        <v>% de remplissage</v>
      </c>
    </row>
    <row r="3" spans="9:13" ht="12.75">
      <c r="I3" t="str">
        <f>res_alimentation!A14</f>
        <v>Objectif d'alimentation</v>
      </c>
      <c r="L3">
        <f>res_alimentation!B14</f>
        <v>7.5</v>
      </c>
      <c r="M3" t="str">
        <f>res_alimentation!C14</f>
        <v>10^'6 l/jour</v>
      </c>
    </row>
  </sheetData>
  <printOptions/>
  <pageMargins left="0.34" right="0.75" top="1" bottom="1" header="0.5" footer="0.5"/>
  <pageSetup horizontalDpi="600" verticalDpi="600" orientation="landscape" paperSize="9" scale="95" r:id="rId2"/>
  <drawing r:id="rId1"/>
</worksheet>
</file>

<file path=xl/worksheets/sheet12.xml><?xml version="1.0" encoding="utf-8"?>
<worksheet xmlns="http://schemas.openxmlformats.org/spreadsheetml/2006/main" xmlns:r="http://schemas.openxmlformats.org/officeDocument/2006/relationships">
  <dimension ref="I2:M3"/>
  <sheetViews>
    <sheetView zoomScale="75" zoomScaleNormal="75" workbookViewId="0" topLeftCell="A1">
      <selection activeCell="K51" sqref="K51:K52"/>
    </sheetView>
  </sheetViews>
  <sheetFormatPr defaultColWidth="9.140625" defaultRowHeight="12.75"/>
  <cols>
    <col min="10" max="10" width="8.57421875" style="0" customWidth="1"/>
  </cols>
  <sheetData>
    <row r="2" spans="9:13" ht="12.75">
      <c r="I2" t="str">
        <f>res_alimentation!A28</f>
        <v>Capacité</v>
      </c>
      <c r="L2">
        <f>res_alimentation!B28</f>
        <v>1000000</v>
      </c>
      <c r="M2" t="str">
        <f>res_alimentation!C28</f>
        <v>m3</v>
      </c>
    </row>
    <row r="3" spans="9:13" ht="12.75">
      <c r="I3" t="str">
        <f>res_alimentation!A29</f>
        <v>Objectif d'alimentation</v>
      </c>
      <c r="L3">
        <f>res_alimentation!B29</f>
        <v>7.5</v>
      </c>
      <c r="M3" t="str">
        <f>res_alimentation!C29</f>
        <v>10^'6 l/jour</v>
      </c>
    </row>
  </sheetData>
  <printOptions/>
  <pageMargins left="0.55" right="0.42" top="1" bottom="1" header="0.5" footer="0.5"/>
  <pageSetup horizontalDpi="600" verticalDpi="600" orientation="landscape" paperSize="9" scale="95" r:id="rId2"/>
  <drawing r:id="rId1"/>
</worksheet>
</file>

<file path=xl/worksheets/sheet13.xml><?xml version="1.0" encoding="utf-8"?>
<worksheet xmlns="http://schemas.openxmlformats.org/spreadsheetml/2006/main" xmlns:r="http://schemas.openxmlformats.org/officeDocument/2006/relationships">
  <dimension ref="I2:M3"/>
  <sheetViews>
    <sheetView zoomScale="75" zoomScaleNormal="75" workbookViewId="0" topLeftCell="A15">
      <selection activeCell="M55" sqref="M55"/>
    </sheetView>
  </sheetViews>
  <sheetFormatPr defaultColWidth="9.140625" defaultRowHeight="12.75"/>
  <sheetData>
    <row r="2" spans="9:13" ht="12.75">
      <c r="I2" t="str">
        <f>res_alimentation!A43</f>
        <v>Capacité</v>
      </c>
      <c r="L2">
        <f>res_alimentation!B43</f>
        <v>1000000</v>
      </c>
      <c r="M2" t="str">
        <f>res_alimentation!C43</f>
        <v>m3</v>
      </c>
    </row>
    <row r="3" spans="9:13" ht="12.75">
      <c r="I3" t="str">
        <f>res_alimentation!A44</f>
        <v>Seuil critique de remplissage</v>
      </c>
      <c r="L3">
        <f>res_alimentation!B44</f>
        <v>0.5</v>
      </c>
      <c r="M3" t="str">
        <f>res_alimentation!C44</f>
        <v>% de remplissage</v>
      </c>
    </row>
  </sheetData>
  <printOptions/>
  <pageMargins left="0.43" right="0.25" top="1" bottom="1" header="0.5" footer="0.5"/>
  <pageSetup horizontalDpi="600" verticalDpi="600" orientation="landscape" paperSize="9" scale="95" r:id="rId2"/>
  <drawing r:id="rId1"/>
</worksheet>
</file>

<file path=xl/worksheets/sheet14.xml><?xml version="1.0" encoding="utf-8"?>
<worksheet xmlns="http://schemas.openxmlformats.org/spreadsheetml/2006/main" xmlns:r="http://schemas.openxmlformats.org/officeDocument/2006/relationships">
  <dimension ref="A1:E29"/>
  <sheetViews>
    <sheetView workbookViewId="0" topLeftCell="A1">
      <selection activeCell="J24" sqref="J24"/>
    </sheetView>
  </sheetViews>
  <sheetFormatPr defaultColWidth="9.140625" defaultRowHeight="12.75"/>
  <cols>
    <col min="1" max="1" width="10.00390625" style="0" customWidth="1"/>
    <col min="2" max="2" width="10.421875" style="0" customWidth="1"/>
  </cols>
  <sheetData>
    <row r="1" s="6" customFormat="1" ht="12.75">
      <c r="A1" s="12" t="s">
        <v>198</v>
      </c>
    </row>
    <row r="5" spans="1:3" ht="12.75">
      <c r="A5" t="s">
        <v>10</v>
      </c>
      <c r="B5" s="1">
        <f>capacity</f>
        <v>1000000</v>
      </c>
      <c r="C5" t="s">
        <v>2</v>
      </c>
    </row>
    <row r="6" ht="12.75">
      <c r="A6" t="s">
        <v>16</v>
      </c>
    </row>
    <row r="7" spans="1:3" ht="12.75">
      <c r="A7" t="s">
        <v>11</v>
      </c>
      <c r="B7">
        <f>length</f>
        <v>500</v>
      </c>
      <c r="C7" t="s">
        <v>12</v>
      </c>
    </row>
    <row r="9" spans="1:4" ht="12.75">
      <c r="A9" s="92" t="s">
        <v>13</v>
      </c>
      <c r="B9" s="92" t="s">
        <v>14</v>
      </c>
      <c r="C9" s="92" t="s">
        <v>18</v>
      </c>
      <c r="D9" s="92" t="s">
        <v>15</v>
      </c>
    </row>
    <row r="10" spans="1:4" ht="12.75">
      <c r="A10">
        <v>0</v>
      </c>
      <c r="B10">
        <v>0</v>
      </c>
      <c r="C10" s="1">
        <f aca="true" t="shared" si="0" ref="C10:C20">0.5*B10*A10*$B$7</f>
        <v>0</v>
      </c>
      <c r="D10" s="1">
        <f>$B$7*B10</f>
        <v>0</v>
      </c>
    </row>
    <row r="11" spans="1:5" ht="12.75">
      <c r="A11">
        <v>5</v>
      </c>
      <c r="B11">
        <v>50</v>
      </c>
      <c r="C11" s="1">
        <f>0.5*B11*A11*$B$7</f>
        <v>62500</v>
      </c>
      <c r="D11" s="1">
        <f>$B$7*B11</f>
        <v>25000</v>
      </c>
      <c r="E11">
        <f>100*C11^0.5</f>
        <v>25000</v>
      </c>
    </row>
    <row r="12" spans="1:5" ht="12.75">
      <c r="A12">
        <v>10</v>
      </c>
      <c r="B12">
        <v>100</v>
      </c>
      <c r="C12" s="1">
        <f t="shared" si="0"/>
        <v>250000</v>
      </c>
      <c r="D12" s="1">
        <f aca="true" t="shared" si="1" ref="D12:D20">$B$7*B12</f>
        <v>50000</v>
      </c>
      <c r="E12">
        <f aca="true" t="shared" si="2" ref="E12:E20">100*C12^0.5</f>
        <v>50000</v>
      </c>
    </row>
    <row r="13" spans="1:5" ht="12.75">
      <c r="A13">
        <v>15</v>
      </c>
      <c r="B13">
        <v>150</v>
      </c>
      <c r="C13" s="1">
        <f t="shared" si="0"/>
        <v>562500</v>
      </c>
      <c r="D13" s="1">
        <f t="shared" si="1"/>
        <v>75000</v>
      </c>
      <c r="E13">
        <f t="shared" si="2"/>
        <v>75000</v>
      </c>
    </row>
    <row r="14" spans="1:5" ht="12.75">
      <c r="A14">
        <v>20</v>
      </c>
      <c r="B14">
        <v>200</v>
      </c>
      <c r="C14" s="1">
        <f t="shared" si="0"/>
        <v>1000000</v>
      </c>
      <c r="D14" s="1">
        <f t="shared" si="1"/>
        <v>100000</v>
      </c>
      <c r="E14">
        <f t="shared" si="2"/>
        <v>100000</v>
      </c>
    </row>
    <row r="15" spans="1:5" ht="12.75">
      <c r="A15">
        <v>25</v>
      </c>
      <c r="B15">
        <v>250</v>
      </c>
      <c r="C15" s="1">
        <f t="shared" si="0"/>
        <v>1562500</v>
      </c>
      <c r="D15" s="1">
        <f t="shared" si="1"/>
        <v>125000</v>
      </c>
      <c r="E15">
        <f t="shared" si="2"/>
        <v>125000</v>
      </c>
    </row>
    <row r="16" spans="1:5" ht="12.75">
      <c r="A16">
        <v>30</v>
      </c>
      <c r="B16">
        <v>300</v>
      </c>
      <c r="C16" s="1">
        <f t="shared" si="0"/>
        <v>2250000</v>
      </c>
      <c r="D16" s="1">
        <f t="shared" si="1"/>
        <v>150000</v>
      </c>
      <c r="E16">
        <f t="shared" si="2"/>
        <v>150000</v>
      </c>
    </row>
    <row r="17" spans="1:5" ht="12.75">
      <c r="A17">
        <v>35</v>
      </c>
      <c r="B17">
        <v>350</v>
      </c>
      <c r="C17" s="1">
        <f t="shared" si="0"/>
        <v>3062500</v>
      </c>
      <c r="D17" s="1">
        <f>$B$7*B17</f>
        <v>175000</v>
      </c>
      <c r="E17">
        <f t="shared" si="2"/>
        <v>175000</v>
      </c>
    </row>
    <row r="18" spans="1:5" ht="12.75">
      <c r="A18">
        <v>40</v>
      </c>
      <c r="B18">
        <v>400</v>
      </c>
      <c r="C18" s="1">
        <f t="shared" si="0"/>
        <v>4000000</v>
      </c>
      <c r="D18" s="1">
        <f t="shared" si="1"/>
        <v>200000</v>
      </c>
      <c r="E18">
        <f t="shared" si="2"/>
        <v>200000</v>
      </c>
    </row>
    <row r="19" spans="1:5" ht="12.75">
      <c r="A19">
        <v>45</v>
      </c>
      <c r="B19">
        <v>450</v>
      </c>
      <c r="C19" s="1">
        <f t="shared" si="0"/>
        <v>5062500</v>
      </c>
      <c r="D19" s="1">
        <f t="shared" si="1"/>
        <v>225000</v>
      </c>
      <c r="E19">
        <f t="shared" si="2"/>
        <v>225000</v>
      </c>
    </row>
    <row r="20" spans="1:5" ht="12.75">
      <c r="A20">
        <v>50</v>
      </c>
      <c r="B20">
        <v>500</v>
      </c>
      <c r="C20" s="1">
        <f t="shared" si="0"/>
        <v>6250000</v>
      </c>
      <c r="D20" s="1">
        <f t="shared" si="1"/>
        <v>250000</v>
      </c>
      <c r="E20">
        <f t="shared" si="2"/>
        <v>250000</v>
      </c>
    </row>
    <row r="23" spans="2:4" ht="12.75">
      <c r="B23" t="s">
        <v>17</v>
      </c>
      <c r="C23" t="s">
        <v>199</v>
      </c>
      <c r="D23" s="2" t="s">
        <v>200</v>
      </c>
    </row>
    <row r="25" spans="2:4" ht="12.75">
      <c r="B25" t="s">
        <v>37</v>
      </c>
      <c r="C25" t="s">
        <v>38</v>
      </c>
      <c r="D25" s="2" t="s">
        <v>201</v>
      </c>
    </row>
    <row r="27" spans="2:3" ht="12.75">
      <c r="B27" t="s">
        <v>40</v>
      </c>
      <c r="C27" t="s">
        <v>41</v>
      </c>
    </row>
    <row r="29" spans="2:3" ht="12.75">
      <c r="B29" t="s">
        <v>39</v>
      </c>
      <c r="C29" t="s">
        <v>42</v>
      </c>
    </row>
  </sheetData>
  <printOptions/>
  <pageMargins left="0.75" right="0.75" top="1" bottom="1" header="0.5" footer="0.5"/>
  <pageSetup orientation="portrait" paperSize="9"/>
  <drawing r:id="rId1"/>
</worksheet>
</file>

<file path=xl/worksheets/sheet2.xml><?xml version="1.0" encoding="utf-8"?>
<worksheet xmlns="http://schemas.openxmlformats.org/spreadsheetml/2006/main" xmlns:r="http://schemas.openxmlformats.org/officeDocument/2006/relationships">
  <dimension ref="A1:M47"/>
  <sheetViews>
    <sheetView workbookViewId="0" topLeftCell="A1">
      <selection activeCell="D15" sqref="D15"/>
    </sheetView>
  </sheetViews>
  <sheetFormatPr defaultColWidth="9.140625" defaultRowHeight="12.75"/>
  <cols>
    <col min="1" max="1" width="13.00390625" style="0" customWidth="1"/>
    <col min="2" max="2" width="20.421875" style="0" customWidth="1"/>
    <col min="3" max="3" width="19.28125" style="0" customWidth="1"/>
    <col min="4" max="4" width="15.140625" style="0" customWidth="1"/>
    <col min="5" max="5" width="11.00390625" style="0" customWidth="1"/>
    <col min="7" max="7" width="12.00390625" style="0" customWidth="1"/>
    <col min="9" max="10" width="11.00390625" style="0" customWidth="1"/>
    <col min="11" max="11" width="15.140625" style="0" customWidth="1"/>
    <col min="12" max="12" width="16.00390625" style="0" customWidth="1"/>
  </cols>
  <sheetData>
    <row r="1" ht="15">
      <c r="A1" s="68" t="s">
        <v>177</v>
      </c>
    </row>
    <row r="2" ht="12.75">
      <c r="A2" s="13"/>
    </row>
    <row r="3" spans="1:10" ht="12.75">
      <c r="A3" s="112" t="s">
        <v>168</v>
      </c>
      <c r="B3" s="113"/>
      <c r="C3" s="113"/>
      <c r="D3" s="113"/>
      <c r="E3" s="31"/>
      <c r="F3" s="115" t="s">
        <v>179</v>
      </c>
      <c r="G3" s="31"/>
      <c r="H3" s="31"/>
      <c r="I3" s="31"/>
      <c r="J3" s="113"/>
    </row>
    <row r="4" spans="1:11" ht="12.75">
      <c r="A4" s="114" t="s">
        <v>210</v>
      </c>
      <c r="B4" s="53"/>
      <c r="C4" s="53"/>
      <c r="D4" s="53"/>
      <c r="E4" s="53"/>
      <c r="F4" s="53"/>
      <c r="G4" s="53"/>
      <c r="H4" s="53"/>
      <c r="I4" s="53"/>
      <c r="J4" s="53"/>
      <c r="K4" s="53"/>
    </row>
    <row r="5" spans="1:10" ht="12.75">
      <c r="A5" s="53" t="s">
        <v>211</v>
      </c>
      <c r="B5" s="53"/>
      <c r="C5" s="53"/>
      <c r="D5" s="53"/>
      <c r="E5" s="53"/>
      <c r="F5" s="53"/>
      <c r="G5" s="53"/>
      <c r="H5" s="53"/>
      <c r="I5" s="53"/>
      <c r="J5" s="53"/>
    </row>
    <row r="7" spans="1:2" ht="12.75">
      <c r="A7" s="6"/>
      <c r="B7" s="13"/>
    </row>
    <row r="8" s="69" customFormat="1" ht="12.75">
      <c r="A8" s="69" t="s">
        <v>180</v>
      </c>
    </row>
    <row r="9" spans="1:2" ht="13.5" thickBot="1">
      <c r="A9" s="6"/>
      <c r="B9" s="13"/>
    </row>
    <row r="10" spans="1:6" s="67" customFormat="1" ht="12.75">
      <c r="A10" s="78" t="s">
        <v>46</v>
      </c>
      <c r="B10" s="79" t="s">
        <v>20</v>
      </c>
      <c r="C10" s="79"/>
      <c r="D10" s="79" t="s">
        <v>21</v>
      </c>
      <c r="E10" s="80" t="s">
        <v>174</v>
      </c>
      <c r="F10" s="13" t="s">
        <v>50</v>
      </c>
    </row>
    <row r="11" spans="1:5" s="7" customFormat="1" ht="12" thickBot="1">
      <c r="A11" s="81"/>
      <c r="B11" s="82" t="s">
        <v>60</v>
      </c>
      <c r="C11" s="82" t="s">
        <v>61</v>
      </c>
      <c r="D11" s="82"/>
      <c r="E11" s="83"/>
    </row>
    <row r="12" spans="1:7" s="67" customFormat="1" ht="12.75">
      <c r="A12" s="84" t="s">
        <v>29</v>
      </c>
      <c r="B12" s="85" t="s">
        <v>0</v>
      </c>
      <c r="C12" s="85"/>
      <c r="D12" s="86">
        <v>10000000</v>
      </c>
      <c r="E12" s="87" t="s">
        <v>1</v>
      </c>
      <c r="F12" s="7"/>
      <c r="G12" s="7"/>
    </row>
    <row r="13" spans="1:7" s="67" customFormat="1" ht="12.75">
      <c r="A13" s="88" t="s">
        <v>22</v>
      </c>
      <c r="B13" s="71" t="s">
        <v>49</v>
      </c>
      <c r="C13" s="71"/>
      <c r="D13" s="72">
        <f>365/12</f>
        <v>30.416666666666668</v>
      </c>
      <c r="E13" s="89"/>
      <c r="F13" s="7" t="s">
        <v>51</v>
      </c>
      <c r="G13" s="7"/>
    </row>
    <row r="14" spans="1:7" s="67" customFormat="1" ht="12.75">
      <c r="A14" s="88" t="s">
        <v>73</v>
      </c>
      <c r="B14" s="71" t="s">
        <v>74</v>
      </c>
      <c r="C14" s="71"/>
      <c r="D14" s="73">
        <f>COUNT(simulation!A11:A130)</f>
        <v>120</v>
      </c>
      <c r="E14" s="89"/>
      <c r="F14" s="7"/>
      <c r="G14" s="7"/>
    </row>
    <row r="15" spans="1:7" s="67" customFormat="1" ht="12.75">
      <c r="A15" s="88" t="s">
        <v>30</v>
      </c>
      <c r="B15" s="71" t="s">
        <v>31</v>
      </c>
      <c r="C15" s="71"/>
      <c r="D15" s="74">
        <v>1000000</v>
      </c>
      <c r="E15" s="89" t="s">
        <v>2</v>
      </c>
      <c r="F15" s="7"/>
      <c r="G15" s="7"/>
    </row>
    <row r="16" spans="1:7" s="67" customFormat="1" ht="12.75">
      <c r="A16" s="88" t="s">
        <v>23</v>
      </c>
      <c r="B16" s="71" t="s">
        <v>52</v>
      </c>
      <c r="C16" s="71" t="s">
        <v>146</v>
      </c>
      <c r="D16" s="75">
        <v>7.5</v>
      </c>
      <c r="E16" s="89" t="s">
        <v>35</v>
      </c>
      <c r="F16" s="7"/>
      <c r="G16" s="7"/>
    </row>
    <row r="17" spans="1:7" s="67" customFormat="1" ht="12.75">
      <c r="A17" s="88" t="s">
        <v>25</v>
      </c>
      <c r="B17" s="71" t="s">
        <v>26</v>
      </c>
      <c r="C17" s="71"/>
      <c r="D17" s="76">
        <f>'paramètres &amp; scénarios'!D18*'paramètres &amp; scénarios'!D15</f>
        <v>500000</v>
      </c>
      <c r="E17" s="89" t="s">
        <v>2</v>
      </c>
      <c r="F17" s="7"/>
      <c r="G17" s="7"/>
    </row>
    <row r="18" spans="1:7" s="67" customFormat="1" ht="12.75">
      <c r="A18" s="88" t="s">
        <v>24</v>
      </c>
      <c r="B18" s="71" t="s">
        <v>28</v>
      </c>
      <c r="C18" s="71" t="s">
        <v>150</v>
      </c>
      <c r="D18" s="77">
        <v>0.5</v>
      </c>
      <c r="E18" s="89" t="s">
        <v>27</v>
      </c>
      <c r="F18" s="9" t="s">
        <v>175</v>
      </c>
      <c r="G18" s="7"/>
    </row>
    <row r="19" spans="1:7" s="67" customFormat="1" ht="12.75">
      <c r="A19" s="88" t="s">
        <v>32</v>
      </c>
      <c r="B19" s="71" t="s">
        <v>33</v>
      </c>
      <c r="C19" s="71" t="s">
        <v>80</v>
      </c>
      <c r="D19" s="71">
        <v>0.75</v>
      </c>
      <c r="E19" s="89" t="s">
        <v>27</v>
      </c>
      <c r="F19" s="7" t="s">
        <v>176</v>
      </c>
      <c r="G19" s="7"/>
    </row>
    <row r="20" spans="1:7" s="67" customFormat="1" ht="12.75">
      <c r="A20" s="88"/>
      <c r="B20" s="71"/>
      <c r="C20" s="71" t="s">
        <v>230</v>
      </c>
      <c r="D20" s="71">
        <v>0.8</v>
      </c>
      <c r="E20" s="89" t="s">
        <v>27</v>
      </c>
      <c r="F20" s="7"/>
      <c r="G20" s="7"/>
    </row>
    <row r="21" spans="1:7" s="67" customFormat="1" ht="12.75">
      <c r="A21" s="88" t="s">
        <v>194</v>
      </c>
      <c r="B21" s="71" t="s">
        <v>195</v>
      </c>
      <c r="C21" s="71" t="s">
        <v>196</v>
      </c>
      <c r="D21" s="71">
        <v>500</v>
      </c>
      <c r="E21" s="89"/>
      <c r="F21" s="7"/>
      <c r="G21" s="7"/>
    </row>
    <row r="22" spans="1:7" s="67" customFormat="1" ht="12.75">
      <c r="A22" s="88" t="s">
        <v>192</v>
      </c>
      <c r="B22" s="71" t="s">
        <v>193</v>
      </c>
      <c r="C22" s="71" t="s">
        <v>191</v>
      </c>
      <c r="D22" s="71">
        <f>150</f>
        <v>150</v>
      </c>
      <c r="E22" s="89" t="s">
        <v>12</v>
      </c>
      <c r="F22" s="7"/>
      <c r="G22" s="7"/>
    </row>
    <row r="23" spans="1:7" s="67" customFormat="1" ht="12.75">
      <c r="A23" s="88" t="s">
        <v>47</v>
      </c>
      <c r="B23" s="71" t="s">
        <v>19</v>
      </c>
      <c r="C23" s="71" t="s">
        <v>152</v>
      </c>
      <c r="D23" s="76">
        <f>length*width</f>
        <v>75000</v>
      </c>
      <c r="E23" s="89" t="s">
        <v>1</v>
      </c>
      <c r="F23" s="7"/>
      <c r="G23" s="7"/>
    </row>
    <row r="24" spans="1:7" s="67" customFormat="1" ht="12.75">
      <c r="A24" s="88" t="s">
        <v>48</v>
      </c>
      <c r="B24" s="71" t="s">
        <v>134</v>
      </c>
      <c r="C24" s="71" t="s">
        <v>184</v>
      </c>
      <c r="D24" s="71">
        <v>15</v>
      </c>
      <c r="E24" s="89" t="s">
        <v>12</v>
      </c>
      <c r="F24" s="7"/>
      <c r="G24" s="7"/>
    </row>
    <row r="25" spans="1:7" s="67" customFormat="1" ht="13.5" thickBot="1">
      <c r="A25" s="81"/>
      <c r="B25" s="90" t="s">
        <v>135</v>
      </c>
      <c r="C25" s="90" t="s">
        <v>185</v>
      </c>
      <c r="D25" s="90">
        <v>30</v>
      </c>
      <c r="E25" s="91" t="s">
        <v>12</v>
      </c>
      <c r="F25" s="7"/>
      <c r="G25" s="7"/>
    </row>
    <row r="28" s="70" customFormat="1" ht="12.75">
      <c r="A28" s="69" t="s">
        <v>178</v>
      </c>
    </row>
    <row r="29" ht="13.5" thickBot="1"/>
    <row r="30" spans="1:13" ht="12.75">
      <c r="A30" s="17"/>
      <c r="B30" s="27" t="s">
        <v>53</v>
      </c>
      <c r="C30" s="27" t="s">
        <v>4</v>
      </c>
      <c r="D30" s="27" t="s">
        <v>58</v>
      </c>
      <c r="E30" s="25" t="s">
        <v>72</v>
      </c>
      <c r="G30" s="19"/>
      <c r="H30" s="19"/>
      <c r="I30" s="19"/>
      <c r="J30" s="19"/>
      <c r="K30" s="19"/>
      <c r="L30" s="19"/>
      <c r="M30" s="19"/>
    </row>
    <row r="31" spans="1:12" ht="12.75">
      <c r="A31" s="21"/>
      <c r="B31" s="16" t="s">
        <v>66</v>
      </c>
      <c r="C31" s="16" t="s">
        <v>66</v>
      </c>
      <c r="D31" s="16" t="s">
        <v>27</v>
      </c>
      <c r="E31" s="18"/>
      <c r="L31" s="19"/>
    </row>
    <row r="32" spans="1:12" ht="12.75">
      <c r="A32" s="28" t="s">
        <v>65</v>
      </c>
      <c r="B32" s="14">
        <f>(nmonth-SUM(failures))/nmonth*100</f>
        <v>78.33333333333333</v>
      </c>
      <c r="C32" s="14">
        <f>IF(Fiabilite_alimentation=100,100,SUM(recoveries)/SUM(failures)*100)</f>
        <v>34.61538461538461</v>
      </c>
      <c r="D32" s="15">
        <f>MAX(vul1)/target</f>
        <v>0.6164383561643836</v>
      </c>
      <c r="E32" s="22">
        <f>SUM(failures)*dinm</f>
        <v>790.8333333333334</v>
      </c>
      <c r="L32" s="19"/>
    </row>
    <row r="33" spans="1:12" ht="12.75">
      <c r="A33" s="28" t="s">
        <v>67</v>
      </c>
      <c r="B33" s="14">
        <f>(nmonth-SUM(areafailures))/nmonth*100</f>
        <v>71.66666666666667</v>
      </c>
      <c r="C33" s="14">
        <f>IF(Fiabilite_recreation=100,100,SUM(arearecoveries)/SUM(areafailures)*100)</f>
        <v>29.411764705882355</v>
      </c>
      <c r="D33" s="15">
        <f>MAX(areavul)/area</f>
        <v>0.6055946811266922</v>
      </c>
      <c r="E33" s="22">
        <f>SUM(areafailures)*dinm</f>
        <v>1034.1666666666667</v>
      </c>
      <c r="L33" s="19"/>
    </row>
    <row r="34" spans="1:12" ht="12.75">
      <c r="A34" s="28" t="s">
        <v>68</v>
      </c>
      <c r="B34" s="14">
        <f>(nmonth-SUM(depthfailures))/nmonth*100</f>
        <v>71.66666666666667</v>
      </c>
      <c r="C34" s="14">
        <f>IF(Fiabilite_peche=100,100,SUM(depthrecoveries)/SUM(depthfailures)*100)</f>
        <v>29.411764705882355</v>
      </c>
      <c r="D34" s="15">
        <f>MAX(depthvul)/(depthmax-depthmin)</f>
        <v>0.6055946811266923</v>
      </c>
      <c r="E34" s="22">
        <f>SUM(depthfailures)*dinm</f>
        <v>1034.1666666666667</v>
      </c>
      <c r="L34" s="20"/>
    </row>
    <row r="35" spans="1:12" ht="13.5" thickBot="1">
      <c r="A35" s="29" t="s">
        <v>221</v>
      </c>
      <c r="B35" s="23">
        <f>(nmonth-SUM(simulation!AA11:AA130))/nmonth*100</f>
        <v>54.166666666666664</v>
      </c>
      <c r="C35" s="23">
        <f>IF(B35=100,100,SUM(simulation!AB12:AB130)/SUM(simulation!AA11:AA130)*100)</f>
        <v>21.818181818181817</v>
      </c>
      <c r="D35" s="24">
        <f>MAX(simulation!Z11:Z130)*0.000001/C47</f>
        <v>0.8305633269467558</v>
      </c>
      <c r="E35" s="26"/>
      <c r="L35" s="20"/>
    </row>
    <row r="36" spans="4:12" ht="12.75">
      <c r="D36" t="s">
        <v>223</v>
      </c>
      <c r="L36" s="19"/>
    </row>
    <row r="37" spans="1:12" ht="12.75">
      <c r="A37" s="13" t="s">
        <v>78</v>
      </c>
      <c r="G37" s="19"/>
      <c r="H37" s="20"/>
      <c r="I37" s="20"/>
      <c r="J37" s="20"/>
      <c r="K37" s="20"/>
      <c r="L37" s="20"/>
    </row>
    <row r="38" spans="1:4" ht="12.75">
      <c r="A38" t="s">
        <v>69</v>
      </c>
      <c r="C38" s="4">
        <f>target*10*12*dinm</f>
        <v>27375</v>
      </c>
      <c r="D38" t="s">
        <v>54</v>
      </c>
    </row>
    <row r="39" spans="1:5" ht="12.75">
      <c r="A39" t="s">
        <v>70</v>
      </c>
      <c r="C39" s="4">
        <f>SUM(simulation!F12:F131)*dinm</f>
        <v>24154.6875</v>
      </c>
      <c r="D39" t="s">
        <v>54</v>
      </c>
      <c r="E39" s="4"/>
    </row>
    <row r="40" spans="1:5" ht="12.75">
      <c r="A40" t="s">
        <v>71</v>
      </c>
      <c r="C40" s="4">
        <f>C38-C39</f>
        <v>3220.3125</v>
      </c>
      <c r="D40" t="s">
        <v>54</v>
      </c>
      <c r="E40" s="6"/>
    </row>
    <row r="41" spans="1:5" ht="12.75">
      <c r="A41" t="s">
        <v>75</v>
      </c>
      <c r="C41" s="4">
        <f>C39/C38%</f>
        <v>88.23630136986301</v>
      </c>
      <c r="D41" t="s">
        <v>7</v>
      </c>
      <c r="E41" s="6"/>
    </row>
    <row r="42" spans="1:4" ht="12.75">
      <c r="A42" t="s">
        <v>76</v>
      </c>
      <c r="C42" s="3">
        <f>MAX(vul1)</f>
        <v>4.623287671232877</v>
      </c>
      <c r="D42" t="s">
        <v>77</v>
      </c>
    </row>
    <row r="43" spans="1:3" ht="12.75">
      <c r="A43" s="13" t="s">
        <v>222</v>
      </c>
      <c r="C43" s="3"/>
    </row>
    <row r="44" spans="1:4" ht="12.75">
      <c r="A44" t="s">
        <v>212</v>
      </c>
      <c r="C44" s="146">
        <f>SUM(simulation!Z11:Z130)*0.000001</f>
        <v>40.39121142900298</v>
      </c>
      <c r="D44" t="s">
        <v>213</v>
      </c>
    </row>
    <row r="45" spans="1:4" ht="12.75">
      <c r="A45" t="s">
        <v>214</v>
      </c>
      <c r="C45" s="146">
        <f>MAX(simulation!Z11:Z130)*0.000001</f>
        <v>2.2373547142168255</v>
      </c>
      <c r="D45" t="s">
        <v>215</v>
      </c>
    </row>
    <row r="46" ht="12.75">
      <c r="A46" t="s">
        <v>224</v>
      </c>
    </row>
    <row r="47" spans="1:4" ht="12.75">
      <c r="A47" t="s">
        <v>225</v>
      </c>
      <c r="C47" s="3">
        <f>MAX(pluie!E3:E122)*catch/1000*0.000001</f>
        <v>2.693779801766101</v>
      </c>
      <c r="D47" t="s">
        <v>215</v>
      </c>
    </row>
  </sheetData>
  <printOptions/>
  <pageMargins left="0.75" right="0.75" top="1" bottom="1" header="0.5" footer="0.5"/>
  <pageSetup orientation="portrait" paperSize="9"/>
  <legacyDrawing r:id="rId2"/>
</worksheet>
</file>

<file path=xl/worksheets/sheet3.xml><?xml version="1.0" encoding="utf-8"?>
<worksheet xmlns="http://schemas.openxmlformats.org/spreadsheetml/2006/main" xmlns:r="http://schemas.openxmlformats.org/officeDocument/2006/relationships">
  <dimension ref="A1:P123"/>
  <sheetViews>
    <sheetView workbookViewId="0" topLeftCell="A1">
      <selection activeCell="D7" sqref="D7"/>
    </sheetView>
  </sheetViews>
  <sheetFormatPr defaultColWidth="9.140625" defaultRowHeight="12.75"/>
  <cols>
    <col min="3" max="3" width="12.57421875" style="0" customWidth="1"/>
    <col min="4" max="4" width="17.421875" style="0" customWidth="1"/>
    <col min="7" max="7" width="12.421875" style="0" customWidth="1"/>
    <col min="8" max="8" width="16.421875" style="0" customWidth="1"/>
    <col min="9" max="9" width="8.28125" style="0" customWidth="1"/>
    <col min="10" max="10" width="9.57421875" style="0" bestFit="1" customWidth="1"/>
    <col min="11" max="11" width="6.140625" style="0" customWidth="1"/>
    <col min="15" max="15" width="5.421875" style="0" customWidth="1"/>
  </cols>
  <sheetData>
    <row r="1" spans="1:7" s="6" customFormat="1" ht="12.75">
      <c r="A1" s="12" t="s">
        <v>43</v>
      </c>
      <c r="B1" s="12" t="s">
        <v>44</v>
      </c>
      <c r="C1" s="12" t="s">
        <v>232</v>
      </c>
      <c r="D1" s="12" t="s">
        <v>197</v>
      </c>
      <c r="E1" s="12" t="s">
        <v>45</v>
      </c>
      <c r="G1" s="12" t="s">
        <v>231</v>
      </c>
    </row>
    <row r="2" spans="1:5" s="6" customFormat="1" ht="12.75">
      <c r="A2" s="12"/>
      <c r="B2" s="12"/>
      <c r="C2" s="12" t="s">
        <v>6</v>
      </c>
      <c r="D2" s="12" t="s">
        <v>6</v>
      </c>
      <c r="E2" s="12" t="s">
        <v>6</v>
      </c>
    </row>
    <row r="3" spans="1:7" ht="12.75">
      <c r="A3">
        <v>1998</v>
      </c>
      <c r="B3">
        <v>1</v>
      </c>
      <c r="C3" s="3">
        <v>187.7</v>
      </c>
      <c r="D3" s="3">
        <v>17.808204672192065</v>
      </c>
      <c r="E3" s="3">
        <f>MAX(C3-D3,0)</f>
        <v>169.89179532780793</v>
      </c>
      <c r="G3" s="4">
        <v>1</v>
      </c>
    </row>
    <row r="4" spans="1:16" ht="12.75">
      <c r="A4">
        <v>1998</v>
      </c>
      <c r="B4">
        <v>2</v>
      </c>
      <c r="C4" s="3">
        <v>157.1</v>
      </c>
      <c r="D4" s="3">
        <v>26.439160629821135</v>
      </c>
      <c r="E4" s="3">
        <f aca="true" t="shared" si="0" ref="E4:E67">MAX(C4-D4,0)</f>
        <v>130.66083937017885</v>
      </c>
      <c r="G4" s="4">
        <v>2</v>
      </c>
      <c r="H4" s="4"/>
      <c r="P4" s="3"/>
    </row>
    <row r="5" spans="1:16" ht="12.75">
      <c r="A5">
        <v>1998</v>
      </c>
      <c r="B5">
        <v>3</v>
      </c>
      <c r="C5" s="3">
        <v>127.8</v>
      </c>
      <c r="D5" s="3">
        <v>41.37697186487327</v>
      </c>
      <c r="E5" s="3">
        <f t="shared" si="0"/>
        <v>86.42302813512673</v>
      </c>
      <c r="G5" s="4">
        <v>3</v>
      </c>
      <c r="H5" s="1"/>
      <c r="L5" s="1"/>
      <c r="P5" s="1"/>
    </row>
    <row r="6" spans="1:16" ht="12.75">
      <c r="A6">
        <v>1998</v>
      </c>
      <c r="B6">
        <v>4</v>
      </c>
      <c r="C6" s="3">
        <v>21.7</v>
      </c>
      <c r="D6" s="3">
        <v>58.62302813512674</v>
      </c>
      <c r="E6" s="3">
        <f t="shared" si="0"/>
        <v>0</v>
      </c>
      <c r="G6" s="4">
        <v>4</v>
      </c>
      <c r="H6" s="4"/>
      <c r="L6" s="4"/>
      <c r="P6" s="4"/>
    </row>
    <row r="7" spans="1:16" ht="12.75">
      <c r="A7">
        <v>1998</v>
      </c>
      <c r="B7">
        <v>5</v>
      </c>
      <c r="C7" s="3">
        <v>67.7</v>
      </c>
      <c r="D7" s="3">
        <v>73.56083937017887</v>
      </c>
      <c r="E7" s="3">
        <f t="shared" si="0"/>
        <v>0</v>
      </c>
      <c r="G7" s="4">
        <v>5</v>
      </c>
      <c r="H7" s="4"/>
      <c r="L7" s="4"/>
      <c r="P7" s="4"/>
    </row>
    <row r="8" spans="1:7" ht="12.75">
      <c r="A8">
        <v>1998</v>
      </c>
      <c r="B8">
        <v>6</v>
      </c>
      <c r="C8" s="3">
        <v>23.4</v>
      </c>
      <c r="D8" s="3">
        <v>82.19179532780792</v>
      </c>
      <c r="E8" s="3">
        <f t="shared" si="0"/>
        <v>0</v>
      </c>
      <c r="G8" s="4">
        <v>6</v>
      </c>
    </row>
    <row r="9" spans="1:7" ht="12.75">
      <c r="A9">
        <v>1998</v>
      </c>
      <c r="B9">
        <v>7</v>
      </c>
      <c r="C9" s="3">
        <v>186.8</v>
      </c>
      <c r="D9" s="3">
        <v>82.20552882307075</v>
      </c>
      <c r="E9" s="3">
        <f t="shared" si="0"/>
        <v>104.59447117692926</v>
      </c>
      <c r="G9" s="4">
        <v>7</v>
      </c>
    </row>
    <row r="10" spans="1:7" ht="12.75">
      <c r="A10">
        <v>1998</v>
      </c>
      <c r="B10">
        <v>8</v>
      </c>
      <c r="C10" s="3">
        <v>157.2</v>
      </c>
      <c r="D10" s="3">
        <v>73.59836362161441</v>
      </c>
      <c r="E10" s="3">
        <f t="shared" si="0"/>
        <v>83.60163637838558</v>
      </c>
      <c r="G10" s="4">
        <v>8</v>
      </c>
    </row>
    <row r="11" spans="1:10" ht="12.75">
      <c r="A11">
        <v>1998</v>
      </c>
      <c r="B11">
        <v>9</v>
      </c>
      <c r="C11" s="3">
        <v>123.9</v>
      </c>
      <c r="D11" s="3">
        <v>58.674298508098715</v>
      </c>
      <c r="E11" s="3">
        <f t="shared" si="0"/>
        <v>65.22570149190129</v>
      </c>
      <c r="G11" s="4">
        <v>9</v>
      </c>
      <c r="J11" s="5"/>
    </row>
    <row r="12" spans="1:10" ht="12.75">
      <c r="A12">
        <v>1998</v>
      </c>
      <c r="B12">
        <v>10</v>
      </c>
      <c r="C12" s="3">
        <v>114</v>
      </c>
      <c r="D12" s="3">
        <v>41.42826411054347</v>
      </c>
      <c r="E12" s="3">
        <f t="shared" si="0"/>
        <v>72.57173588945653</v>
      </c>
      <c r="G12" s="4">
        <v>10</v>
      </c>
      <c r="J12" s="5"/>
    </row>
    <row r="13" spans="1:10" ht="12.75">
      <c r="A13">
        <v>1998</v>
      </c>
      <c r="B13">
        <v>11</v>
      </c>
      <c r="C13" s="3">
        <v>60</v>
      </c>
      <c r="D13" s="3">
        <v>26.47674464438411</v>
      </c>
      <c r="E13" s="3">
        <f t="shared" si="0"/>
        <v>33.52325535561589</v>
      </c>
      <c r="G13" s="4">
        <v>11</v>
      </c>
      <c r="J13" s="5"/>
    </row>
    <row r="14" spans="1:10" ht="12.75">
      <c r="A14">
        <v>1998</v>
      </c>
      <c r="B14">
        <v>12</v>
      </c>
      <c r="C14" s="3">
        <v>121.6</v>
      </c>
      <c r="D14" s="3">
        <v>17.822019823389816</v>
      </c>
      <c r="E14" s="3">
        <f t="shared" si="0"/>
        <v>103.77798017661019</v>
      </c>
      <c r="G14" s="4">
        <v>12</v>
      </c>
      <c r="J14" s="5"/>
    </row>
    <row r="15" spans="1:10" ht="12.75">
      <c r="A15">
        <v>1999</v>
      </c>
      <c r="B15">
        <v>1</v>
      </c>
      <c r="C15" s="3">
        <v>54.4</v>
      </c>
      <c r="D15" s="3">
        <v>17.808204672192065</v>
      </c>
      <c r="E15" s="3">
        <f t="shared" si="0"/>
        <v>36.59179532780793</v>
      </c>
      <c r="G15" s="4">
        <v>13</v>
      </c>
      <c r="J15" s="5"/>
    </row>
    <row r="16" spans="1:10" ht="12.75">
      <c r="A16">
        <v>1999</v>
      </c>
      <c r="B16">
        <v>2</v>
      </c>
      <c r="C16" s="3">
        <v>108.9</v>
      </c>
      <c r="D16" s="3">
        <v>26.439160629821135</v>
      </c>
      <c r="E16" s="3">
        <f t="shared" si="0"/>
        <v>82.46083937017887</v>
      </c>
      <c r="G16" s="4">
        <v>14</v>
      </c>
      <c r="J16" s="5"/>
    </row>
    <row r="17" spans="1:10" ht="12.75">
      <c r="A17">
        <v>1999</v>
      </c>
      <c r="B17">
        <v>3</v>
      </c>
      <c r="C17" s="3">
        <v>148.4</v>
      </c>
      <c r="D17" s="3">
        <v>41.37697186487327</v>
      </c>
      <c r="E17" s="3">
        <f t="shared" si="0"/>
        <v>107.02302813512674</v>
      </c>
      <c r="G17" s="4">
        <v>15</v>
      </c>
      <c r="J17" s="5"/>
    </row>
    <row r="18" spans="1:10" ht="12.75">
      <c r="A18">
        <v>1999</v>
      </c>
      <c r="B18">
        <v>4</v>
      </c>
      <c r="C18" s="3">
        <v>100.3</v>
      </c>
      <c r="D18" s="3">
        <v>58.62302813512674</v>
      </c>
      <c r="E18" s="3">
        <f t="shared" si="0"/>
        <v>41.67697186487326</v>
      </c>
      <c r="G18" s="4">
        <v>16</v>
      </c>
      <c r="J18" s="5"/>
    </row>
    <row r="19" spans="1:10" ht="12.75">
      <c r="A19">
        <v>1999</v>
      </c>
      <c r="B19">
        <v>5</v>
      </c>
      <c r="C19" s="3">
        <v>22.7</v>
      </c>
      <c r="D19" s="3">
        <v>73.56083937017887</v>
      </c>
      <c r="E19" s="3">
        <f t="shared" si="0"/>
        <v>0</v>
      </c>
      <c r="G19" s="4">
        <v>17</v>
      </c>
      <c r="J19" s="5"/>
    </row>
    <row r="20" spans="1:10" ht="12.75">
      <c r="A20">
        <v>1999</v>
      </c>
      <c r="B20">
        <v>6</v>
      </c>
      <c r="C20" s="3">
        <v>92.8</v>
      </c>
      <c r="D20" s="3">
        <v>82.19179532780792</v>
      </c>
      <c r="E20" s="3">
        <f t="shared" si="0"/>
        <v>10.608204672192073</v>
      </c>
      <c r="G20" s="4">
        <v>18</v>
      </c>
      <c r="J20" s="5"/>
    </row>
    <row r="21" spans="1:10" ht="12.75">
      <c r="A21">
        <v>1999</v>
      </c>
      <c r="B21">
        <v>7</v>
      </c>
      <c r="C21" s="3">
        <v>83</v>
      </c>
      <c r="D21" s="3">
        <v>82.20552882307075</v>
      </c>
      <c r="E21" s="3">
        <f t="shared" si="0"/>
        <v>0.7944711769292496</v>
      </c>
      <c r="G21" s="4">
        <v>19</v>
      </c>
      <c r="J21" s="5"/>
    </row>
    <row r="22" spans="1:10" ht="12.75">
      <c r="A22">
        <v>1999</v>
      </c>
      <c r="B22">
        <v>8</v>
      </c>
      <c r="C22" s="3">
        <v>65.6</v>
      </c>
      <c r="D22" s="3">
        <v>73.59836362161441</v>
      </c>
      <c r="E22" s="3">
        <f t="shared" si="0"/>
        <v>0</v>
      </c>
      <c r="G22" s="4">
        <v>20</v>
      </c>
      <c r="J22" s="5"/>
    </row>
    <row r="23" spans="1:7" ht="12.75">
      <c r="A23">
        <v>1999</v>
      </c>
      <c r="B23">
        <v>9</v>
      </c>
      <c r="C23" s="3">
        <v>26.5</v>
      </c>
      <c r="D23" s="3">
        <v>58.674298508098715</v>
      </c>
      <c r="E23" s="3">
        <f t="shared" si="0"/>
        <v>0</v>
      </c>
      <c r="G23" s="4">
        <v>21</v>
      </c>
    </row>
    <row r="24" spans="1:7" ht="12.75">
      <c r="A24">
        <v>1999</v>
      </c>
      <c r="B24">
        <v>10</v>
      </c>
      <c r="C24" s="3">
        <v>132.7</v>
      </c>
      <c r="D24" s="3">
        <v>41.42826411054347</v>
      </c>
      <c r="E24" s="3">
        <f t="shared" si="0"/>
        <v>91.27173588945652</v>
      </c>
      <c r="G24" s="4">
        <v>22</v>
      </c>
    </row>
    <row r="25" spans="1:7" ht="12.75">
      <c r="A25">
        <v>1999</v>
      </c>
      <c r="B25">
        <v>11</v>
      </c>
      <c r="C25" s="3">
        <v>66</v>
      </c>
      <c r="D25" s="3">
        <v>26.47674464438411</v>
      </c>
      <c r="E25" s="3">
        <f t="shared" si="0"/>
        <v>39.52325535561589</v>
      </c>
      <c r="G25" s="4">
        <v>23</v>
      </c>
    </row>
    <row r="26" spans="1:7" ht="12.75">
      <c r="A26">
        <v>1999</v>
      </c>
      <c r="B26">
        <v>12</v>
      </c>
      <c r="C26" s="3">
        <v>102.2</v>
      </c>
      <c r="D26" s="3">
        <v>17.822019823389816</v>
      </c>
      <c r="E26" s="3">
        <f t="shared" si="0"/>
        <v>84.37798017661018</v>
      </c>
      <c r="G26" s="4">
        <v>24</v>
      </c>
    </row>
    <row r="27" spans="1:7" ht="12.75">
      <c r="A27">
        <v>2000</v>
      </c>
      <c r="B27">
        <v>1</v>
      </c>
      <c r="C27" s="3">
        <v>223.6</v>
      </c>
      <c r="D27" s="3">
        <v>17.808204672192065</v>
      </c>
      <c r="E27" s="3">
        <f t="shared" si="0"/>
        <v>205.79179532780793</v>
      </c>
      <c r="G27" s="4">
        <v>25</v>
      </c>
    </row>
    <row r="28" spans="1:7" ht="12.75">
      <c r="A28">
        <v>2000</v>
      </c>
      <c r="B28">
        <v>2</v>
      </c>
      <c r="C28" s="3">
        <v>167.6</v>
      </c>
      <c r="D28" s="3">
        <v>26.439160629821135</v>
      </c>
      <c r="E28" s="3">
        <f t="shared" si="0"/>
        <v>141.16083937017885</v>
      </c>
      <c r="G28" s="4">
        <v>26</v>
      </c>
    </row>
    <row r="29" spans="1:7" ht="12.75">
      <c r="A29">
        <v>2000</v>
      </c>
      <c r="B29">
        <v>3</v>
      </c>
      <c r="C29" s="3">
        <v>76.4</v>
      </c>
      <c r="D29" s="3">
        <v>41.37697186487327</v>
      </c>
      <c r="E29" s="3">
        <f t="shared" si="0"/>
        <v>35.02302813512674</v>
      </c>
      <c r="G29" s="4">
        <v>27</v>
      </c>
    </row>
    <row r="30" spans="1:7" ht="12.75">
      <c r="A30">
        <v>2000</v>
      </c>
      <c r="B30">
        <v>4</v>
      </c>
      <c r="C30" s="3">
        <v>56.1</v>
      </c>
      <c r="D30" s="3">
        <v>58.62302813512674</v>
      </c>
      <c r="E30" s="3">
        <f t="shared" si="0"/>
        <v>0</v>
      </c>
      <c r="G30" s="4">
        <v>28</v>
      </c>
    </row>
    <row r="31" spans="1:7" ht="12.75">
      <c r="A31">
        <v>2000</v>
      </c>
      <c r="B31">
        <v>5</v>
      </c>
      <c r="C31" s="3">
        <v>33.1</v>
      </c>
      <c r="D31" s="3">
        <v>73.56083937017887</v>
      </c>
      <c r="E31" s="3">
        <f t="shared" si="0"/>
        <v>0</v>
      </c>
      <c r="G31" s="4">
        <v>29</v>
      </c>
    </row>
    <row r="32" spans="1:7" ht="12.75">
      <c r="A32">
        <v>2000</v>
      </c>
      <c r="B32">
        <v>6</v>
      </c>
      <c r="C32" s="3">
        <v>78.1</v>
      </c>
      <c r="D32" s="3">
        <v>82.19179532780792</v>
      </c>
      <c r="E32" s="3">
        <f t="shared" si="0"/>
        <v>0</v>
      </c>
      <c r="G32" s="4">
        <v>30</v>
      </c>
    </row>
    <row r="33" spans="1:7" ht="12.75">
      <c r="A33">
        <v>2000</v>
      </c>
      <c r="B33">
        <v>7</v>
      </c>
      <c r="C33" s="3">
        <v>50.5</v>
      </c>
      <c r="D33" s="3">
        <v>82.20552882307075</v>
      </c>
      <c r="E33" s="3">
        <f t="shared" si="0"/>
        <v>0</v>
      </c>
      <c r="G33" s="4">
        <v>31</v>
      </c>
    </row>
    <row r="34" spans="1:7" ht="12.75">
      <c r="A34">
        <v>2000</v>
      </c>
      <c r="B34">
        <v>8</v>
      </c>
      <c r="C34" s="3">
        <v>111.2</v>
      </c>
      <c r="D34" s="3">
        <v>73.59836362161441</v>
      </c>
      <c r="E34" s="3">
        <f t="shared" si="0"/>
        <v>37.60163637838559</v>
      </c>
      <c r="G34" s="4">
        <v>32</v>
      </c>
    </row>
    <row r="35" spans="1:7" ht="12.75">
      <c r="A35">
        <v>2000</v>
      </c>
      <c r="B35">
        <v>9</v>
      </c>
      <c r="C35" s="3">
        <v>70.9</v>
      </c>
      <c r="D35" s="3">
        <v>58.674298508098715</v>
      </c>
      <c r="E35" s="3">
        <f t="shared" si="0"/>
        <v>12.22570149190129</v>
      </c>
      <c r="G35" s="4">
        <v>33</v>
      </c>
    </row>
    <row r="36" spans="1:7" ht="12.75">
      <c r="A36">
        <v>2000</v>
      </c>
      <c r="B36">
        <v>10</v>
      </c>
      <c r="C36" s="3">
        <v>147.4</v>
      </c>
      <c r="D36" s="3">
        <v>41.42826411054347</v>
      </c>
      <c r="E36" s="3">
        <f t="shared" si="0"/>
        <v>105.97173588945654</v>
      </c>
      <c r="G36" s="4">
        <v>34</v>
      </c>
    </row>
    <row r="37" spans="1:7" ht="12.75">
      <c r="A37">
        <v>2000</v>
      </c>
      <c r="B37">
        <v>11</v>
      </c>
      <c r="C37" s="3">
        <v>89.4</v>
      </c>
      <c r="D37" s="3">
        <v>26.47674464438411</v>
      </c>
      <c r="E37" s="3">
        <f t="shared" si="0"/>
        <v>62.92325535561589</v>
      </c>
      <c r="G37" s="4">
        <v>35</v>
      </c>
    </row>
    <row r="38" spans="1:7" ht="12.75">
      <c r="A38">
        <v>2000</v>
      </c>
      <c r="B38">
        <v>12</v>
      </c>
      <c r="C38" s="3">
        <v>255.4</v>
      </c>
      <c r="D38" s="3">
        <v>17.822019823389816</v>
      </c>
      <c r="E38" s="3">
        <f t="shared" si="0"/>
        <v>237.5779801766102</v>
      </c>
      <c r="G38" s="4">
        <v>36</v>
      </c>
    </row>
    <row r="39" spans="1:7" ht="12.75">
      <c r="A39">
        <v>2001</v>
      </c>
      <c r="B39">
        <v>1</v>
      </c>
      <c r="C39" s="3">
        <v>101.2</v>
      </c>
      <c r="D39" s="3">
        <v>17.808204672192065</v>
      </c>
      <c r="E39" s="3">
        <f t="shared" si="0"/>
        <v>83.39179532780794</v>
      </c>
      <c r="G39" s="4">
        <v>37</v>
      </c>
    </row>
    <row r="40" spans="1:7" ht="12.75">
      <c r="A40">
        <v>2001</v>
      </c>
      <c r="B40">
        <v>2</v>
      </c>
      <c r="C40" s="3">
        <v>121.4</v>
      </c>
      <c r="D40" s="3">
        <v>26.439160629821135</v>
      </c>
      <c r="E40" s="3">
        <f t="shared" si="0"/>
        <v>94.96083937017887</v>
      </c>
      <c r="G40" s="4">
        <v>38</v>
      </c>
    </row>
    <row r="41" spans="1:7" ht="12.75">
      <c r="A41">
        <v>2001</v>
      </c>
      <c r="B41">
        <v>3</v>
      </c>
      <c r="C41" s="3">
        <v>83</v>
      </c>
      <c r="D41" s="3">
        <v>41.37697186487327</v>
      </c>
      <c r="E41" s="3">
        <f t="shared" si="0"/>
        <v>41.62302813512673</v>
      </c>
      <c r="G41" s="4">
        <v>39</v>
      </c>
    </row>
    <row r="42" spans="1:7" ht="12.75">
      <c r="A42">
        <v>2001</v>
      </c>
      <c r="B42">
        <v>4</v>
      </c>
      <c r="C42" s="3">
        <v>66.6</v>
      </c>
      <c r="D42" s="3">
        <v>58.62302813512674</v>
      </c>
      <c r="E42" s="3">
        <f t="shared" si="0"/>
        <v>7.976971864873256</v>
      </c>
      <c r="G42" s="4">
        <v>40</v>
      </c>
    </row>
    <row r="43" spans="1:7" ht="12.75">
      <c r="A43">
        <v>2001</v>
      </c>
      <c r="B43">
        <v>5</v>
      </c>
      <c r="C43" s="3">
        <v>15.4</v>
      </c>
      <c r="D43" s="3">
        <v>73.56083937017887</v>
      </c>
      <c r="E43" s="3">
        <f t="shared" si="0"/>
        <v>0</v>
      </c>
      <c r="G43" s="4">
        <v>41</v>
      </c>
    </row>
    <row r="44" spans="1:7" ht="12.75">
      <c r="A44">
        <v>2001</v>
      </c>
      <c r="B44">
        <v>6</v>
      </c>
      <c r="C44" s="3">
        <v>140.7</v>
      </c>
      <c r="D44" s="3">
        <v>82.19179532780792</v>
      </c>
      <c r="E44" s="3">
        <f t="shared" si="0"/>
        <v>58.508204672192065</v>
      </c>
      <c r="G44" s="4">
        <v>42</v>
      </c>
    </row>
    <row r="45" spans="1:7" ht="12.75">
      <c r="A45">
        <v>2001</v>
      </c>
      <c r="B45">
        <v>7</v>
      </c>
      <c r="C45" s="3">
        <v>54.3</v>
      </c>
      <c r="D45" s="3">
        <v>82.20552882307075</v>
      </c>
      <c r="E45" s="3">
        <f t="shared" si="0"/>
        <v>0</v>
      </c>
      <c r="G45" s="4">
        <v>43</v>
      </c>
    </row>
    <row r="46" spans="1:7" ht="12.75">
      <c r="A46">
        <v>2001</v>
      </c>
      <c r="B46">
        <v>8</v>
      </c>
      <c r="C46" s="3">
        <v>48.9</v>
      </c>
      <c r="D46" s="3">
        <v>73.59836362161441</v>
      </c>
      <c r="E46" s="3">
        <f t="shared" si="0"/>
        <v>0</v>
      </c>
      <c r="G46" s="4">
        <v>44</v>
      </c>
    </row>
    <row r="47" spans="1:7" ht="12.75">
      <c r="A47">
        <v>2001</v>
      </c>
      <c r="B47">
        <v>9</v>
      </c>
      <c r="C47" s="3">
        <v>59.7</v>
      </c>
      <c r="D47" s="3">
        <v>58.674298508098715</v>
      </c>
      <c r="E47" s="3">
        <f t="shared" si="0"/>
        <v>1.0257014919012875</v>
      </c>
      <c r="G47" s="4">
        <v>45</v>
      </c>
    </row>
    <row r="48" spans="1:7" ht="12.75">
      <c r="A48">
        <v>2001</v>
      </c>
      <c r="B48">
        <v>10</v>
      </c>
      <c r="C48" s="3">
        <v>55.8</v>
      </c>
      <c r="D48" s="3">
        <v>41.42826411054347</v>
      </c>
      <c r="E48" s="3">
        <f t="shared" si="0"/>
        <v>14.371735889456524</v>
      </c>
      <c r="G48" s="4">
        <v>46</v>
      </c>
    </row>
    <row r="49" spans="1:7" ht="12.75">
      <c r="A49">
        <v>2001</v>
      </c>
      <c r="B49">
        <v>11</v>
      </c>
      <c r="C49" s="3">
        <v>224.1</v>
      </c>
      <c r="D49" s="3">
        <v>26.47674464438411</v>
      </c>
      <c r="E49" s="3">
        <f t="shared" si="0"/>
        <v>197.6232553556159</v>
      </c>
      <c r="G49" s="4">
        <v>47</v>
      </c>
    </row>
    <row r="50" spans="1:7" ht="12.75">
      <c r="A50">
        <v>2001</v>
      </c>
      <c r="B50">
        <v>12</v>
      </c>
      <c r="C50" s="3">
        <v>144.8</v>
      </c>
      <c r="D50" s="3">
        <v>17.822019823389816</v>
      </c>
      <c r="E50" s="3">
        <f t="shared" si="0"/>
        <v>126.9779801766102</v>
      </c>
      <c r="G50" s="4">
        <v>48</v>
      </c>
    </row>
    <row r="51" spans="1:7" ht="12.75">
      <c r="A51">
        <v>2002</v>
      </c>
      <c r="B51">
        <v>1</v>
      </c>
      <c r="C51" s="3">
        <v>91.4</v>
      </c>
      <c r="D51" s="3">
        <v>17.808204672192065</v>
      </c>
      <c r="E51" s="3">
        <f t="shared" si="0"/>
        <v>73.59179532780794</v>
      </c>
      <c r="G51" s="4">
        <v>49</v>
      </c>
    </row>
    <row r="52" spans="1:7" ht="12.75">
      <c r="A52">
        <v>2002</v>
      </c>
      <c r="B52">
        <v>2</v>
      </c>
      <c r="C52" s="3">
        <v>91.5</v>
      </c>
      <c r="D52" s="3">
        <v>26.439160629821135</v>
      </c>
      <c r="E52" s="3">
        <f t="shared" si="0"/>
        <v>65.06083937017887</v>
      </c>
      <c r="G52" s="4">
        <v>50</v>
      </c>
    </row>
    <row r="53" spans="1:7" ht="12.75">
      <c r="A53">
        <v>2002</v>
      </c>
      <c r="B53">
        <v>3</v>
      </c>
      <c r="C53" s="3">
        <v>157.2</v>
      </c>
      <c r="D53" s="3">
        <v>41.37697186487327</v>
      </c>
      <c r="E53" s="3">
        <f t="shared" si="0"/>
        <v>115.82302813512672</v>
      </c>
      <c r="G53" s="4">
        <v>51</v>
      </c>
    </row>
    <row r="54" spans="1:7" ht="12.75">
      <c r="A54">
        <v>2002</v>
      </c>
      <c r="B54">
        <v>4</v>
      </c>
      <c r="C54" s="3">
        <v>94.3</v>
      </c>
      <c r="D54" s="3">
        <v>58.62302813512674</v>
      </c>
      <c r="E54" s="3">
        <f t="shared" si="0"/>
        <v>35.67697186487326</v>
      </c>
      <c r="G54" s="4">
        <v>52</v>
      </c>
    </row>
    <row r="55" spans="1:7" ht="12.75">
      <c r="A55">
        <v>2002</v>
      </c>
      <c r="B55">
        <v>5</v>
      </c>
      <c r="C55" s="3">
        <v>72.2</v>
      </c>
      <c r="D55" s="3">
        <v>73.56083937017887</v>
      </c>
      <c r="E55" s="3">
        <f t="shared" si="0"/>
        <v>0</v>
      </c>
      <c r="G55" s="4">
        <v>53</v>
      </c>
    </row>
    <row r="56" spans="1:7" ht="12.75">
      <c r="A56">
        <v>2002</v>
      </c>
      <c r="B56">
        <v>6</v>
      </c>
      <c r="C56" s="3">
        <v>12.5</v>
      </c>
      <c r="D56" s="3">
        <v>82.19179532780792</v>
      </c>
      <c r="E56" s="3">
        <f t="shared" si="0"/>
        <v>0</v>
      </c>
      <c r="G56" s="4">
        <v>54</v>
      </c>
    </row>
    <row r="57" spans="1:7" ht="12.75">
      <c r="A57">
        <v>2002</v>
      </c>
      <c r="B57">
        <v>7</v>
      </c>
      <c r="C57" s="3">
        <v>81.2</v>
      </c>
      <c r="D57" s="3">
        <v>82.20552882307075</v>
      </c>
      <c r="E57" s="3">
        <f t="shared" si="0"/>
        <v>0</v>
      </c>
      <c r="G57" s="4">
        <v>55</v>
      </c>
    </row>
    <row r="58" spans="1:7" ht="12.75">
      <c r="A58">
        <v>2002</v>
      </c>
      <c r="B58">
        <v>8</v>
      </c>
      <c r="C58" s="3">
        <v>133.4</v>
      </c>
      <c r="D58" s="3">
        <v>73.59836362161441</v>
      </c>
      <c r="E58" s="3">
        <f t="shared" si="0"/>
        <v>59.801636378385595</v>
      </c>
      <c r="G58" s="4">
        <v>56</v>
      </c>
    </row>
    <row r="59" spans="1:7" ht="12.75">
      <c r="A59">
        <v>2002</v>
      </c>
      <c r="B59">
        <v>9</v>
      </c>
      <c r="C59" s="3">
        <v>92.4</v>
      </c>
      <c r="D59" s="3">
        <v>58.674298508098715</v>
      </c>
      <c r="E59" s="3">
        <f t="shared" si="0"/>
        <v>33.72570149190129</v>
      </c>
      <c r="G59" s="4">
        <v>57</v>
      </c>
    </row>
    <row r="60" spans="1:7" ht="12.75">
      <c r="A60">
        <v>2002</v>
      </c>
      <c r="B60">
        <v>10</v>
      </c>
      <c r="C60" s="3">
        <v>105.3</v>
      </c>
      <c r="D60" s="3">
        <v>41.42826411054347</v>
      </c>
      <c r="E60" s="3">
        <f t="shared" si="0"/>
        <v>63.871735889456524</v>
      </c>
      <c r="G60" s="4">
        <v>58</v>
      </c>
    </row>
    <row r="61" spans="1:7" ht="12.75">
      <c r="A61">
        <v>2002</v>
      </c>
      <c r="B61">
        <v>11</v>
      </c>
      <c r="C61" s="3">
        <v>155</v>
      </c>
      <c r="D61" s="3">
        <v>26.47674464438411</v>
      </c>
      <c r="E61" s="3">
        <f t="shared" si="0"/>
        <v>128.5232553556159</v>
      </c>
      <c r="G61" s="4">
        <v>59</v>
      </c>
    </row>
    <row r="62" spans="1:7" ht="12.75">
      <c r="A62">
        <v>2002</v>
      </c>
      <c r="B62">
        <v>12</v>
      </c>
      <c r="C62" s="3">
        <v>116.4</v>
      </c>
      <c r="D62" s="3">
        <v>17.822019823389816</v>
      </c>
      <c r="E62" s="3">
        <f t="shared" si="0"/>
        <v>98.5779801766102</v>
      </c>
      <c r="G62" s="4">
        <v>60</v>
      </c>
    </row>
    <row r="63" spans="1:7" ht="12.75">
      <c r="A63">
        <v>2003</v>
      </c>
      <c r="B63">
        <v>1</v>
      </c>
      <c r="C63" s="3">
        <v>180.8</v>
      </c>
      <c r="D63" s="3">
        <v>17.808204672192065</v>
      </c>
      <c r="E63" s="3">
        <f t="shared" si="0"/>
        <v>162.99179532780795</v>
      </c>
      <c r="G63" s="4">
        <v>61</v>
      </c>
    </row>
    <row r="64" spans="1:7" ht="12.75">
      <c r="A64">
        <v>2003</v>
      </c>
      <c r="B64">
        <v>2</v>
      </c>
      <c r="C64" s="3">
        <v>18.7</v>
      </c>
      <c r="D64" s="3">
        <v>26.439160629821135</v>
      </c>
      <c r="E64" s="3">
        <f t="shared" si="0"/>
        <v>0</v>
      </c>
      <c r="G64" s="4">
        <v>62</v>
      </c>
    </row>
    <row r="65" spans="1:7" ht="12.75">
      <c r="A65">
        <v>2003</v>
      </c>
      <c r="B65">
        <v>3</v>
      </c>
      <c r="C65" s="3">
        <v>20</v>
      </c>
      <c r="D65" s="3">
        <v>41.37697186487327</v>
      </c>
      <c r="E65" s="3">
        <f t="shared" si="0"/>
        <v>0</v>
      </c>
      <c r="G65" s="4">
        <v>63</v>
      </c>
    </row>
    <row r="66" spans="1:7" ht="12.75">
      <c r="A66">
        <v>2003</v>
      </c>
      <c r="B66">
        <v>4</v>
      </c>
      <c r="C66" s="3">
        <v>105.9</v>
      </c>
      <c r="D66" s="3">
        <v>58.62302813512674</v>
      </c>
      <c r="E66" s="3">
        <f t="shared" si="0"/>
        <v>47.27697186487327</v>
      </c>
      <c r="G66" s="4">
        <v>64</v>
      </c>
    </row>
    <row r="67" spans="1:7" ht="12.75">
      <c r="A67">
        <v>2003</v>
      </c>
      <c r="B67">
        <v>5</v>
      </c>
      <c r="C67" s="3">
        <v>110.6</v>
      </c>
      <c r="D67" s="3">
        <v>73.56083937017887</v>
      </c>
      <c r="E67" s="3">
        <f t="shared" si="0"/>
        <v>37.039160629821126</v>
      </c>
      <c r="G67" s="4">
        <v>65</v>
      </c>
    </row>
    <row r="68" spans="1:7" ht="12.75">
      <c r="A68">
        <v>2003</v>
      </c>
      <c r="B68">
        <v>6</v>
      </c>
      <c r="C68" s="3">
        <v>53</v>
      </c>
      <c r="D68" s="3">
        <v>82.19179532780792</v>
      </c>
      <c r="E68" s="3">
        <f aca="true" t="shared" si="1" ref="E68:E122">MAX(C68-D68,0)</f>
        <v>0</v>
      </c>
      <c r="G68" s="4">
        <v>66</v>
      </c>
    </row>
    <row r="69" spans="1:7" ht="12.75">
      <c r="A69">
        <v>2003</v>
      </c>
      <c r="B69">
        <v>7</v>
      </c>
      <c r="C69" s="3">
        <v>106.9</v>
      </c>
      <c r="D69" s="3">
        <v>82.20552882307075</v>
      </c>
      <c r="E69" s="3">
        <f t="shared" si="1"/>
        <v>24.694471176929255</v>
      </c>
      <c r="G69" s="4">
        <v>67</v>
      </c>
    </row>
    <row r="70" spans="1:7" ht="12.75">
      <c r="A70">
        <v>2003</v>
      </c>
      <c r="B70">
        <v>8</v>
      </c>
      <c r="C70" s="3">
        <v>101.8</v>
      </c>
      <c r="D70" s="3">
        <v>73.59836362161441</v>
      </c>
      <c r="E70" s="3">
        <f t="shared" si="1"/>
        <v>28.201636378385587</v>
      </c>
      <c r="G70" s="4">
        <v>68</v>
      </c>
    </row>
    <row r="71" spans="1:7" ht="12.75">
      <c r="A71">
        <v>2003</v>
      </c>
      <c r="B71">
        <v>9</v>
      </c>
      <c r="C71" s="3">
        <v>161.3</v>
      </c>
      <c r="D71" s="3">
        <v>58.674298508098715</v>
      </c>
      <c r="E71" s="3">
        <f t="shared" si="1"/>
        <v>102.6257014919013</v>
      </c>
      <c r="G71" s="4">
        <v>69</v>
      </c>
    </row>
    <row r="72" spans="1:7" ht="12.75">
      <c r="A72">
        <v>2003</v>
      </c>
      <c r="B72">
        <v>10</v>
      </c>
      <c r="C72" s="3">
        <v>54.5</v>
      </c>
      <c r="D72" s="3">
        <v>41.42826411054347</v>
      </c>
      <c r="E72" s="3">
        <f t="shared" si="1"/>
        <v>13.071735889456527</v>
      </c>
      <c r="G72" s="4">
        <v>70</v>
      </c>
    </row>
    <row r="73" spans="1:7" ht="12.75">
      <c r="A73">
        <v>2003</v>
      </c>
      <c r="B73">
        <v>11</v>
      </c>
      <c r="C73" s="3">
        <v>36.2</v>
      </c>
      <c r="D73" s="3">
        <v>26.47674464438411</v>
      </c>
      <c r="E73" s="3">
        <f t="shared" si="1"/>
        <v>9.723255355615894</v>
      </c>
      <c r="G73" s="4">
        <v>71</v>
      </c>
    </row>
    <row r="74" spans="1:7" ht="12.75">
      <c r="A74">
        <v>2003</v>
      </c>
      <c r="B74">
        <v>12</v>
      </c>
      <c r="C74" s="3">
        <v>287.2</v>
      </c>
      <c r="D74" s="3">
        <v>17.822019823389816</v>
      </c>
      <c r="E74" s="3">
        <f t="shared" si="1"/>
        <v>269.37798017661015</v>
      </c>
      <c r="G74" s="4">
        <v>72</v>
      </c>
    </row>
    <row r="75" spans="1:7" ht="12.75">
      <c r="A75">
        <v>2004</v>
      </c>
      <c r="B75">
        <v>1</v>
      </c>
      <c r="C75" s="3">
        <v>186.6</v>
      </c>
      <c r="D75" s="3">
        <v>17.808204672192065</v>
      </c>
      <c r="E75" s="3">
        <f t="shared" si="1"/>
        <v>168.79179532780793</v>
      </c>
      <c r="G75" s="4">
        <v>73</v>
      </c>
    </row>
    <row r="76" spans="1:7" ht="12.75">
      <c r="A76">
        <v>2004</v>
      </c>
      <c r="B76">
        <v>2</v>
      </c>
      <c r="C76" s="3">
        <v>65.2</v>
      </c>
      <c r="D76" s="3">
        <v>26.439160629821135</v>
      </c>
      <c r="E76" s="3">
        <f t="shared" si="1"/>
        <v>38.76083937017887</v>
      </c>
      <c r="G76" s="4">
        <v>74</v>
      </c>
    </row>
    <row r="77" spans="1:7" ht="12.75">
      <c r="A77">
        <v>2004</v>
      </c>
      <c r="B77">
        <v>3</v>
      </c>
      <c r="C77" s="3">
        <v>163.2</v>
      </c>
      <c r="D77" s="3">
        <v>41.37697186487327</v>
      </c>
      <c r="E77" s="3">
        <f t="shared" si="1"/>
        <v>121.82302813512672</v>
      </c>
      <c r="G77" s="4">
        <v>75</v>
      </c>
    </row>
    <row r="78" spans="1:7" ht="12.75">
      <c r="A78">
        <v>2004</v>
      </c>
      <c r="B78">
        <v>4</v>
      </c>
      <c r="C78" s="3">
        <v>98.2</v>
      </c>
      <c r="D78" s="3">
        <v>58.62302813512674</v>
      </c>
      <c r="E78" s="3">
        <f t="shared" si="1"/>
        <v>39.576971864873265</v>
      </c>
      <c r="G78" s="4">
        <v>76</v>
      </c>
    </row>
    <row r="79" spans="1:7" ht="12.75">
      <c r="A79">
        <v>2004</v>
      </c>
      <c r="B79">
        <v>5</v>
      </c>
      <c r="C79" s="3">
        <v>31.3</v>
      </c>
      <c r="D79" s="3">
        <v>73.56083937017887</v>
      </c>
      <c r="E79" s="3">
        <f t="shared" si="1"/>
        <v>0</v>
      </c>
      <c r="G79" s="4">
        <v>77</v>
      </c>
    </row>
    <row r="80" spans="1:7" ht="12.75">
      <c r="A80">
        <v>2004</v>
      </c>
      <c r="B80">
        <v>6</v>
      </c>
      <c r="C80" s="3">
        <v>60.9</v>
      </c>
      <c r="D80" s="3">
        <v>82.19179532780792</v>
      </c>
      <c r="E80" s="3">
        <f t="shared" si="1"/>
        <v>0</v>
      </c>
      <c r="G80" s="4">
        <v>78</v>
      </c>
    </row>
    <row r="81" spans="1:7" ht="12.75">
      <c r="A81">
        <v>2004</v>
      </c>
      <c r="B81">
        <v>7</v>
      </c>
      <c r="C81" s="3">
        <v>78.1</v>
      </c>
      <c r="D81" s="3">
        <v>82.20552882307075</v>
      </c>
      <c r="E81" s="3">
        <f t="shared" si="1"/>
        <v>0</v>
      </c>
      <c r="G81" s="4">
        <v>79</v>
      </c>
    </row>
    <row r="82" spans="1:7" ht="12.75">
      <c r="A82">
        <v>2004</v>
      </c>
      <c r="B82">
        <v>8</v>
      </c>
      <c r="C82" s="3">
        <v>91.9</v>
      </c>
      <c r="D82" s="3">
        <v>73.59836362161441</v>
      </c>
      <c r="E82" s="3">
        <f t="shared" si="1"/>
        <v>18.301636378385595</v>
      </c>
      <c r="G82" s="4">
        <v>80</v>
      </c>
    </row>
    <row r="83" spans="1:7" ht="12.75">
      <c r="A83">
        <v>2004</v>
      </c>
      <c r="B83">
        <v>9</v>
      </c>
      <c r="C83" s="3">
        <v>123</v>
      </c>
      <c r="D83" s="3">
        <v>58.674298508098715</v>
      </c>
      <c r="E83" s="3">
        <f t="shared" si="1"/>
        <v>64.32570149190128</v>
      </c>
      <c r="G83" s="4">
        <v>81</v>
      </c>
    </row>
    <row r="84" spans="1:7" ht="12.75">
      <c r="A84">
        <v>2004</v>
      </c>
      <c r="B84">
        <v>10</v>
      </c>
      <c r="C84" s="3">
        <v>105.2</v>
      </c>
      <c r="D84" s="3">
        <v>41.42826411054347</v>
      </c>
      <c r="E84" s="3">
        <f t="shared" si="1"/>
        <v>63.77173588945653</v>
      </c>
      <c r="G84" s="4">
        <v>82</v>
      </c>
    </row>
    <row r="85" spans="1:7" ht="12.75">
      <c r="A85">
        <v>2004</v>
      </c>
      <c r="B85">
        <v>11</v>
      </c>
      <c r="C85" s="3">
        <v>170.3</v>
      </c>
      <c r="D85" s="3">
        <v>26.47674464438411</v>
      </c>
      <c r="E85" s="3">
        <f t="shared" si="1"/>
        <v>143.8232553556159</v>
      </c>
      <c r="G85" s="4">
        <v>83</v>
      </c>
    </row>
    <row r="86" spans="1:7" ht="12.75">
      <c r="A86">
        <v>2004</v>
      </c>
      <c r="B86">
        <v>12</v>
      </c>
      <c r="C86" s="3">
        <v>179.2</v>
      </c>
      <c r="D86" s="3">
        <v>17.822019823389816</v>
      </c>
      <c r="E86" s="3">
        <f t="shared" si="1"/>
        <v>161.37798017661018</v>
      </c>
      <c r="G86" s="4">
        <v>84</v>
      </c>
    </row>
    <row r="87" spans="1:7" ht="12.75">
      <c r="A87">
        <v>2005</v>
      </c>
      <c r="B87">
        <v>1</v>
      </c>
      <c r="C87" s="3">
        <v>158.5</v>
      </c>
      <c r="D87" s="3">
        <v>17.808204672192065</v>
      </c>
      <c r="E87" s="3">
        <f t="shared" si="1"/>
        <v>140.69179532780794</v>
      </c>
      <c r="G87" s="4">
        <v>85</v>
      </c>
    </row>
    <row r="88" spans="1:7" ht="12.75">
      <c r="A88">
        <v>2005</v>
      </c>
      <c r="B88">
        <v>2</v>
      </c>
      <c r="C88" s="3">
        <v>179.2</v>
      </c>
      <c r="D88" s="3">
        <v>26.439160629821135</v>
      </c>
      <c r="E88" s="3">
        <f t="shared" si="1"/>
        <v>152.76083937017884</v>
      </c>
      <c r="G88" s="4">
        <v>86</v>
      </c>
    </row>
    <row r="89" spans="1:7" ht="12.75">
      <c r="A89">
        <v>2005</v>
      </c>
      <c r="B89">
        <v>3</v>
      </c>
      <c r="C89" s="3">
        <v>150.4</v>
      </c>
      <c r="D89" s="3">
        <v>41.37697186487327</v>
      </c>
      <c r="E89" s="3">
        <f t="shared" si="1"/>
        <v>109.02302813512674</v>
      </c>
      <c r="G89" s="4">
        <v>87</v>
      </c>
    </row>
    <row r="90" spans="1:7" ht="12.75">
      <c r="A90">
        <v>2005</v>
      </c>
      <c r="B90">
        <v>4</v>
      </c>
      <c r="C90" s="3">
        <v>34.9</v>
      </c>
      <c r="D90" s="3">
        <v>58.62302813512674</v>
      </c>
      <c r="E90" s="3">
        <f t="shared" si="1"/>
        <v>0</v>
      </c>
      <c r="G90" s="4">
        <v>88</v>
      </c>
    </row>
    <row r="91" spans="1:7" ht="12.75">
      <c r="A91">
        <v>2005</v>
      </c>
      <c r="B91">
        <v>5</v>
      </c>
      <c r="C91" s="3">
        <v>39.5</v>
      </c>
      <c r="D91" s="3">
        <v>73.56083937017887</v>
      </c>
      <c r="E91" s="3">
        <f t="shared" si="1"/>
        <v>0</v>
      </c>
      <c r="G91" s="4">
        <v>89</v>
      </c>
    </row>
    <row r="92" spans="1:7" ht="12.75">
      <c r="A92">
        <v>2005</v>
      </c>
      <c r="B92">
        <v>6</v>
      </c>
      <c r="C92" s="3">
        <v>21.7</v>
      </c>
      <c r="D92" s="3">
        <v>82.19179532780792</v>
      </c>
      <c r="E92" s="3">
        <f t="shared" si="1"/>
        <v>0</v>
      </c>
      <c r="G92" s="4">
        <v>90</v>
      </c>
    </row>
    <row r="93" spans="1:7" ht="12.75">
      <c r="A93">
        <v>2005</v>
      </c>
      <c r="B93">
        <v>7</v>
      </c>
      <c r="C93" s="3">
        <v>53.7</v>
      </c>
      <c r="D93" s="3">
        <v>82.20552882307075</v>
      </c>
      <c r="E93" s="3">
        <f t="shared" si="1"/>
        <v>0</v>
      </c>
      <c r="G93" s="4">
        <v>91</v>
      </c>
    </row>
    <row r="94" spans="1:7" ht="12.75">
      <c r="A94">
        <v>2005</v>
      </c>
      <c r="B94">
        <v>8</v>
      </c>
      <c r="C94" s="3">
        <v>9.4</v>
      </c>
      <c r="D94" s="3">
        <v>73.59836362161441</v>
      </c>
      <c r="E94" s="3">
        <f t="shared" si="1"/>
        <v>0</v>
      </c>
      <c r="G94" s="4">
        <v>92</v>
      </c>
    </row>
    <row r="95" spans="1:7" ht="12.75">
      <c r="A95">
        <v>2005</v>
      </c>
      <c r="B95">
        <v>9</v>
      </c>
      <c r="C95" s="3">
        <v>80.1</v>
      </c>
      <c r="D95" s="3">
        <v>58.674298508098715</v>
      </c>
      <c r="E95" s="3">
        <f t="shared" si="1"/>
        <v>21.42570149190128</v>
      </c>
      <c r="G95" s="4">
        <v>93</v>
      </c>
    </row>
    <row r="96" spans="1:7" ht="12.75">
      <c r="A96">
        <v>2005</v>
      </c>
      <c r="B96">
        <v>10</v>
      </c>
      <c r="C96" s="3">
        <v>46.7</v>
      </c>
      <c r="D96" s="3">
        <v>41.42826411054347</v>
      </c>
      <c r="E96" s="3">
        <f t="shared" si="1"/>
        <v>5.271735889456529</v>
      </c>
      <c r="G96" s="4">
        <v>94</v>
      </c>
    </row>
    <row r="97" spans="1:7" ht="12.75">
      <c r="A97">
        <v>2005</v>
      </c>
      <c r="B97">
        <v>11</v>
      </c>
      <c r="C97" s="3">
        <v>52.9</v>
      </c>
      <c r="D97" s="3">
        <v>26.47674464438411</v>
      </c>
      <c r="E97" s="3">
        <f t="shared" si="1"/>
        <v>26.42325535561589</v>
      </c>
      <c r="G97" s="4">
        <v>95</v>
      </c>
    </row>
    <row r="98" spans="1:7" ht="12.75">
      <c r="A98">
        <v>2005</v>
      </c>
      <c r="B98">
        <v>12</v>
      </c>
      <c r="C98" s="3">
        <v>47.9</v>
      </c>
      <c r="D98" s="3">
        <v>17.822019823389816</v>
      </c>
      <c r="E98" s="3">
        <f t="shared" si="1"/>
        <v>30.077980176610183</v>
      </c>
      <c r="G98" s="4">
        <v>96</v>
      </c>
    </row>
    <row r="99" spans="1:7" ht="12.75">
      <c r="A99">
        <v>2006</v>
      </c>
      <c r="B99">
        <v>1</v>
      </c>
      <c r="C99" s="3">
        <v>56</v>
      </c>
      <c r="D99" s="3">
        <v>17.808204672192065</v>
      </c>
      <c r="E99" s="3">
        <f t="shared" si="1"/>
        <v>38.19179532780794</v>
      </c>
      <c r="G99" s="4">
        <v>97</v>
      </c>
    </row>
    <row r="100" spans="1:7" ht="12.75">
      <c r="A100">
        <v>2006</v>
      </c>
      <c r="B100">
        <v>2</v>
      </c>
      <c r="C100" s="3">
        <v>96.1</v>
      </c>
      <c r="D100" s="3">
        <v>26.439160629821135</v>
      </c>
      <c r="E100" s="3">
        <f t="shared" si="1"/>
        <v>69.66083937017886</v>
      </c>
      <c r="G100" s="4">
        <v>98</v>
      </c>
    </row>
    <row r="101" spans="1:7" ht="12.75">
      <c r="A101">
        <v>2006</v>
      </c>
      <c r="B101">
        <v>3</v>
      </c>
      <c r="C101" s="3">
        <v>34.5</v>
      </c>
      <c r="D101" s="3">
        <v>41.37697186487327</v>
      </c>
      <c r="E101" s="3">
        <f t="shared" si="1"/>
        <v>0</v>
      </c>
      <c r="G101" s="4">
        <v>99</v>
      </c>
    </row>
    <row r="102" spans="1:7" ht="12.75">
      <c r="A102">
        <v>2006</v>
      </c>
      <c r="B102">
        <v>4</v>
      </c>
      <c r="C102" s="3">
        <v>53.4</v>
      </c>
      <c r="D102" s="3">
        <v>58.62302813512674</v>
      </c>
      <c r="E102" s="3">
        <f t="shared" si="1"/>
        <v>0</v>
      </c>
      <c r="G102" s="4">
        <v>100</v>
      </c>
    </row>
    <row r="103" spans="1:7" ht="12.75">
      <c r="A103">
        <v>2006</v>
      </c>
      <c r="B103">
        <v>5</v>
      </c>
      <c r="C103" s="3">
        <v>84.8</v>
      </c>
      <c r="D103" s="3">
        <v>73.56083937017887</v>
      </c>
      <c r="E103" s="3">
        <f t="shared" si="1"/>
        <v>11.239160629821129</v>
      </c>
      <c r="G103" s="4">
        <v>101</v>
      </c>
    </row>
    <row r="104" spans="1:7" ht="12.75">
      <c r="A104">
        <v>2006</v>
      </c>
      <c r="B104">
        <v>6</v>
      </c>
      <c r="C104" s="3">
        <v>38.4</v>
      </c>
      <c r="D104" s="3">
        <v>82.19179532780792</v>
      </c>
      <c r="E104" s="3">
        <f t="shared" si="1"/>
        <v>0</v>
      </c>
      <c r="G104" s="4">
        <v>102</v>
      </c>
    </row>
    <row r="105" spans="1:7" ht="12.75">
      <c r="A105">
        <v>2006</v>
      </c>
      <c r="B105">
        <v>7</v>
      </c>
      <c r="C105" s="3">
        <v>105.9</v>
      </c>
      <c r="D105" s="3">
        <v>82.20552882307075</v>
      </c>
      <c r="E105" s="3">
        <f t="shared" si="1"/>
        <v>23.694471176929255</v>
      </c>
      <c r="G105" s="4">
        <v>103</v>
      </c>
    </row>
    <row r="106" spans="1:7" ht="12.75">
      <c r="A106">
        <v>2006</v>
      </c>
      <c r="B106">
        <v>8</v>
      </c>
      <c r="C106" s="3">
        <v>140.2</v>
      </c>
      <c r="D106" s="3">
        <v>73.59836362161441</v>
      </c>
      <c r="E106" s="3">
        <f t="shared" si="1"/>
        <v>66.60163637838558</v>
      </c>
      <c r="G106" s="4">
        <v>104</v>
      </c>
    </row>
    <row r="107" spans="1:7" ht="12.75">
      <c r="A107">
        <v>2006</v>
      </c>
      <c r="B107">
        <v>9</v>
      </c>
      <c r="C107" s="3">
        <v>43.9</v>
      </c>
      <c r="D107" s="3">
        <v>58.674298508098715</v>
      </c>
      <c r="E107" s="3">
        <f t="shared" si="1"/>
        <v>0</v>
      </c>
      <c r="G107" s="4">
        <v>105</v>
      </c>
    </row>
    <row r="108" spans="1:7" ht="12.75">
      <c r="A108">
        <v>2006</v>
      </c>
      <c r="B108">
        <v>10</v>
      </c>
      <c r="C108" s="3">
        <v>95.2</v>
      </c>
      <c r="D108" s="3">
        <v>41.42826411054347</v>
      </c>
      <c r="E108" s="3">
        <f t="shared" si="1"/>
        <v>53.77173588945653</v>
      </c>
      <c r="G108" s="4">
        <v>106</v>
      </c>
    </row>
    <row r="109" spans="1:7" ht="12.75">
      <c r="A109">
        <v>2006</v>
      </c>
      <c r="B109">
        <v>11</v>
      </c>
      <c r="C109" s="3">
        <v>147.3</v>
      </c>
      <c r="D109" s="3">
        <v>26.47674464438411</v>
      </c>
      <c r="E109" s="3">
        <f t="shared" si="1"/>
        <v>120.8232553556159</v>
      </c>
      <c r="G109" s="4">
        <v>107</v>
      </c>
    </row>
    <row r="110" spans="1:7" ht="12.75">
      <c r="A110">
        <v>2006</v>
      </c>
      <c r="B110">
        <v>12</v>
      </c>
      <c r="C110" s="3">
        <v>105</v>
      </c>
      <c r="D110" s="3">
        <v>17.822019823389816</v>
      </c>
      <c r="E110" s="3">
        <f t="shared" si="1"/>
        <v>87.17798017661019</v>
      </c>
      <c r="G110" s="4">
        <v>108</v>
      </c>
    </row>
    <row r="111" spans="1:7" ht="12.75">
      <c r="A111">
        <v>2007</v>
      </c>
      <c r="B111">
        <v>1</v>
      </c>
      <c r="C111" s="3">
        <v>10.1</v>
      </c>
      <c r="D111" s="3">
        <v>17.808204672192065</v>
      </c>
      <c r="E111" s="3">
        <f t="shared" si="1"/>
        <v>0</v>
      </c>
      <c r="G111" s="4">
        <v>109</v>
      </c>
    </row>
    <row r="112" spans="1:7" ht="12.75">
      <c r="A112">
        <v>2007</v>
      </c>
      <c r="B112">
        <v>2</v>
      </c>
      <c r="C112" s="3">
        <v>208</v>
      </c>
      <c r="D112" s="3">
        <v>26.439160629821135</v>
      </c>
      <c r="E112" s="3">
        <f t="shared" si="1"/>
        <v>181.56083937017885</v>
      </c>
      <c r="G112" s="4">
        <v>110</v>
      </c>
    </row>
    <row r="113" spans="1:7" ht="12.75">
      <c r="A113">
        <v>2007</v>
      </c>
      <c r="B113">
        <v>3</v>
      </c>
      <c r="C113" s="3">
        <v>93.7</v>
      </c>
      <c r="D113" s="3">
        <v>41.37697186487327</v>
      </c>
      <c r="E113" s="3">
        <f t="shared" si="1"/>
        <v>52.323028135126734</v>
      </c>
      <c r="G113" s="4">
        <v>111</v>
      </c>
    </row>
    <row r="114" spans="1:7" ht="12.75">
      <c r="A114">
        <v>2007</v>
      </c>
      <c r="B114">
        <v>4</v>
      </c>
      <c r="C114" s="3">
        <v>44.8</v>
      </c>
      <c r="D114" s="3">
        <v>58.62302813512674</v>
      </c>
      <c r="E114" s="3">
        <f t="shared" si="1"/>
        <v>0</v>
      </c>
      <c r="G114" s="4">
        <v>112</v>
      </c>
    </row>
    <row r="115" spans="1:7" ht="12.75">
      <c r="A115">
        <v>2007</v>
      </c>
      <c r="B115">
        <v>5</v>
      </c>
      <c r="C115" s="3">
        <v>93.9</v>
      </c>
      <c r="D115" s="3">
        <v>73.56083937017887</v>
      </c>
      <c r="E115" s="3">
        <f t="shared" si="1"/>
        <v>20.339160629821137</v>
      </c>
      <c r="G115" s="4">
        <v>113</v>
      </c>
    </row>
    <row r="116" spans="1:7" ht="12.75">
      <c r="A116">
        <v>2007</v>
      </c>
      <c r="B116">
        <v>6</v>
      </c>
      <c r="C116" s="3">
        <v>88.2</v>
      </c>
      <c r="D116" s="3">
        <v>82.19179532780792</v>
      </c>
      <c r="E116" s="3">
        <f t="shared" si="1"/>
        <v>6.008204672192079</v>
      </c>
      <c r="G116" s="4">
        <v>114</v>
      </c>
    </row>
    <row r="117" spans="1:7" ht="12.75">
      <c r="A117">
        <v>2007</v>
      </c>
      <c r="B117">
        <v>7</v>
      </c>
      <c r="C117" s="3">
        <v>94.1</v>
      </c>
      <c r="D117" s="3">
        <v>82.20552882307075</v>
      </c>
      <c r="E117" s="3">
        <f t="shared" si="1"/>
        <v>11.894471176929244</v>
      </c>
      <c r="G117" s="4">
        <v>115</v>
      </c>
    </row>
    <row r="118" spans="1:7" ht="12.75">
      <c r="A118">
        <v>2007</v>
      </c>
      <c r="B118">
        <v>8</v>
      </c>
      <c r="C118" s="3">
        <v>47.6</v>
      </c>
      <c r="D118" s="3">
        <v>73.59836362161441</v>
      </c>
      <c r="E118" s="3">
        <f t="shared" si="1"/>
        <v>0</v>
      </c>
      <c r="G118" s="4">
        <v>116</v>
      </c>
    </row>
    <row r="119" spans="1:7" ht="12.75">
      <c r="A119">
        <v>2007</v>
      </c>
      <c r="B119">
        <v>9</v>
      </c>
      <c r="C119" s="3">
        <v>76.3</v>
      </c>
      <c r="D119" s="3">
        <v>58.674298508098715</v>
      </c>
      <c r="E119" s="3">
        <f t="shared" si="1"/>
        <v>17.62570149190128</v>
      </c>
      <c r="G119" s="4">
        <v>117</v>
      </c>
    </row>
    <row r="120" spans="1:7" ht="12.75">
      <c r="A120">
        <v>2007</v>
      </c>
      <c r="B120">
        <v>10</v>
      </c>
      <c r="C120" s="3">
        <v>89.6</v>
      </c>
      <c r="D120" s="3">
        <v>41.42826411054347</v>
      </c>
      <c r="E120" s="3">
        <f t="shared" si="1"/>
        <v>48.17173588945652</v>
      </c>
      <c r="G120" s="4">
        <v>118</v>
      </c>
    </row>
    <row r="121" spans="1:7" ht="12.75">
      <c r="A121">
        <v>2007</v>
      </c>
      <c r="B121">
        <v>11</v>
      </c>
      <c r="C121" s="3">
        <v>96.7</v>
      </c>
      <c r="D121" s="3">
        <v>26.47674464438411</v>
      </c>
      <c r="E121" s="3">
        <f t="shared" si="1"/>
        <v>70.22325535561589</v>
      </c>
      <c r="G121" s="4">
        <v>119</v>
      </c>
    </row>
    <row r="122" spans="1:7" ht="12.75">
      <c r="A122">
        <v>2007</v>
      </c>
      <c r="B122">
        <v>12</v>
      </c>
      <c r="C122" s="3">
        <v>150.7</v>
      </c>
      <c r="D122" s="3">
        <v>17.822019823389816</v>
      </c>
      <c r="E122" s="3">
        <f t="shared" si="1"/>
        <v>132.87798017661018</v>
      </c>
      <c r="G122" s="4">
        <v>120</v>
      </c>
    </row>
    <row r="123" ht="12.75">
      <c r="E123" s="3">
        <f>SUM(E3:E122)</f>
        <v>6497.402392900301</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AC130"/>
  <sheetViews>
    <sheetView zoomScale="75" zoomScaleNormal="75" workbookViewId="0" topLeftCell="A1">
      <pane ySplit="4230" topLeftCell="BM74" activePane="topLeft" state="split"/>
      <selection pane="topLeft" activeCell="AK16" sqref="AK16"/>
      <selection pane="bottomLeft" activeCell="AG92" sqref="AG92"/>
    </sheetView>
  </sheetViews>
  <sheetFormatPr defaultColWidth="9.140625" defaultRowHeight="12.75"/>
  <cols>
    <col min="1" max="1" width="5.7109375" style="10" customWidth="1"/>
    <col min="2" max="2" width="9.00390625" style="10" customWidth="1"/>
    <col min="3" max="3" width="9.28125" style="10" customWidth="1"/>
    <col min="4" max="4" width="6.8515625" style="10" customWidth="1"/>
    <col min="5" max="5" width="10.7109375" style="10" customWidth="1"/>
    <col min="6" max="6" width="10.57421875" style="10" customWidth="1"/>
    <col min="7" max="7" width="8.7109375" style="10" customWidth="1"/>
    <col min="8" max="8" width="7.140625" style="10" customWidth="1"/>
    <col min="9" max="9" width="10.28125" style="10" customWidth="1"/>
    <col min="10" max="10" width="11.28125" style="10" customWidth="1"/>
    <col min="11" max="11" width="6.8515625" style="10" customWidth="1"/>
    <col min="12" max="12" width="11.00390625" style="10" customWidth="1"/>
    <col min="13" max="13" width="8.8515625" style="10" customWidth="1"/>
    <col min="14" max="14" width="7.00390625" style="10" customWidth="1"/>
    <col min="15" max="15" width="8.8515625" style="10" customWidth="1"/>
    <col min="16" max="17" width="7.00390625" style="10" customWidth="1"/>
    <col min="18" max="18" width="11.57421875" style="10" customWidth="1"/>
    <col min="19" max="19" width="8.57421875" style="10" customWidth="1"/>
    <col min="20" max="20" width="7.00390625" style="10" customWidth="1"/>
    <col min="21" max="21" width="9.7109375" style="10" customWidth="1"/>
    <col min="22" max="25" width="7.00390625" style="10" customWidth="1"/>
    <col min="26" max="26" width="11.7109375" style="10" customWidth="1"/>
    <col min="27" max="16384" width="7.00390625" style="10" customWidth="1"/>
  </cols>
  <sheetData>
    <row r="1" ht="12" customHeight="1">
      <c r="AA1" s="7"/>
    </row>
    <row r="2" ht="12" customHeight="1">
      <c r="AA2" s="7"/>
    </row>
    <row r="3" spans="1:27" ht="12" customHeight="1">
      <c r="A3" s="106" t="s">
        <v>163</v>
      </c>
      <c r="C3" s="10" t="s">
        <v>162</v>
      </c>
      <c r="AA3" s="7"/>
    </row>
    <row r="4" spans="3:27" ht="12" customHeight="1">
      <c r="C4" s="10" t="s">
        <v>161</v>
      </c>
      <c r="Z4" s="154"/>
      <c r="AA4" s="7"/>
    </row>
    <row r="5" ht="12" customHeight="1">
      <c r="AA5" s="7"/>
    </row>
    <row r="6" ht="12" customHeight="1">
      <c r="AA6" s="7"/>
    </row>
    <row r="7" spans="5:28" s="7" customFormat="1" ht="15" customHeight="1">
      <c r="E7" s="126" t="s">
        <v>36</v>
      </c>
      <c r="F7" s="127"/>
      <c r="G7" s="128"/>
      <c r="H7" s="128"/>
      <c r="I7" s="128"/>
      <c r="J7" s="71"/>
      <c r="K7" s="10"/>
      <c r="L7" s="119" t="s">
        <v>8</v>
      </c>
      <c r="M7" s="77"/>
      <c r="N7" s="77"/>
      <c r="O7" s="77"/>
      <c r="P7" s="71"/>
      <c r="Q7" s="10"/>
      <c r="R7" s="118" t="s">
        <v>34</v>
      </c>
      <c r="S7" s="116"/>
      <c r="T7" s="116"/>
      <c r="U7" s="116"/>
      <c r="V7" s="71"/>
      <c r="W7" s="71"/>
      <c r="Z7" s="156" t="s">
        <v>216</v>
      </c>
      <c r="AA7" s="156"/>
      <c r="AB7" s="156"/>
    </row>
    <row r="8" spans="1:28" s="8" customFormat="1" ht="24.75" customHeight="1">
      <c r="A8" s="120" t="s">
        <v>44</v>
      </c>
      <c r="B8" s="121" t="s">
        <v>160</v>
      </c>
      <c r="C8" s="121" t="s">
        <v>159</v>
      </c>
      <c r="D8" s="136" t="s">
        <v>167</v>
      </c>
      <c r="E8" s="129" t="s">
        <v>165</v>
      </c>
      <c r="F8" s="129" t="s">
        <v>164</v>
      </c>
      <c r="G8" s="129" t="s">
        <v>155</v>
      </c>
      <c r="H8" s="130" t="s">
        <v>156</v>
      </c>
      <c r="I8" s="131" t="s">
        <v>218</v>
      </c>
      <c r="J8" s="135" t="s">
        <v>166</v>
      </c>
      <c r="K8" s="11"/>
      <c r="L8" s="93" t="s">
        <v>9</v>
      </c>
      <c r="M8" s="94" t="s">
        <v>155</v>
      </c>
      <c r="N8" s="93" t="s">
        <v>156</v>
      </c>
      <c r="O8" s="94" t="s">
        <v>157</v>
      </c>
      <c r="P8" s="135" t="s">
        <v>158</v>
      </c>
      <c r="Q8" s="11"/>
      <c r="R8" s="95" t="s">
        <v>204</v>
      </c>
      <c r="S8" s="96" t="s">
        <v>155</v>
      </c>
      <c r="T8" s="97" t="s">
        <v>156</v>
      </c>
      <c r="U8" s="95" t="s">
        <v>157</v>
      </c>
      <c r="V8" s="143" t="s">
        <v>154</v>
      </c>
      <c r="W8" s="135" t="s">
        <v>153</v>
      </c>
      <c r="Z8" s="157" t="s">
        <v>217</v>
      </c>
      <c r="AA8" s="157" t="s">
        <v>219</v>
      </c>
      <c r="AB8" s="157" t="s">
        <v>220</v>
      </c>
    </row>
    <row r="9" spans="1:28" s="8" customFormat="1" ht="15" customHeight="1">
      <c r="A9" s="107"/>
      <c r="B9" s="98" t="s">
        <v>2</v>
      </c>
      <c r="C9" s="98" t="s">
        <v>7</v>
      </c>
      <c r="D9" s="139"/>
      <c r="E9" s="132" t="s">
        <v>35</v>
      </c>
      <c r="F9" s="132" t="s">
        <v>35</v>
      </c>
      <c r="G9" s="132"/>
      <c r="H9" s="133"/>
      <c r="I9" s="134" t="s">
        <v>35</v>
      </c>
      <c r="J9" s="136" t="s">
        <v>35</v>
      </c>
      <c r="K9" s="99"/>
      <c r="L9" s="100" t="s">
        <v>1</v>
      </c>
      <c r="M9" s="101"/>
      <c r="N9" s="100"/>
      <c r="O9" s="101" t="s">
        <v>1</v>
      </c>
      <c r="P9" s="136" t="s">
        <v>1</v>
      </c>
      <c r="Q9" s="99"/>
      <c r="R9" s="102" t="s">
        <v>12</v>
      </c>
      <c r="S9" s="103"/>
      <c r="T9" s="104"/>
      <c r="U9" s="105" t="s">
        <v>12</v>
      </c>
      <c r="V9" s="144" t="s">
        <v>12</v>
      </c>
      <c r="W9" s="136" t="s">
        <v>12</v>
      </c>
      <c r="Z9" s="157" t="s">
        <v>2</v>
      </c>
      <c r="AA9" s="157"/>
      <c r="AB9" s="157"/>
    </row>
    <row r="10" spans="1:28" s="7" customFormat="1" ht="11.25">
      <c r="A10" s="124"/>
      <c r="B10" s="117">
        <f>capacity*'paramètres &amp; scénarios'!D20</f>
        <v>800000</v>
      </c>
      <c r="C10" s="145">
        <f>B10/capacity</f>
        <v>0.8</v>
      </c>
      <c r="D10" s="140">
        <v>0.5</v>
      </c>
      <c r="E10" s="122">
        <f>target</f>
        <v>7.5</v>
      </c>
      <c r="F10" s="123"/>
      <c r="G10" s="117"/>
      <c r="H10" s="117"/>
      <c r="I10" s="117"/>
      <c r="J10" s="137"/>
      <c r="K10" s="10"/>
      <c r="L10" s="77"/>
      <c r="M10" s="77"/>
      <c r="N10" s="77"/>
      <c r="O10" s="77"/>
      <c r="P10" s="137"/>
      <c r="Q10" s="10"/>
      <c r="R10" s="116"/>
      <c r="S10" s="116"/>
      <c r="T10" s="116"/>
      <c r="U10" s="116"/>
      <c r="V10" s="137"/>
      <c r="W10" s="137"/>
      <c r="Z10" s="158"/>
      <c r="AA10" s="158"/>
      <c r="AB10" s="158"/>
    </row>
    <row r="11" spans="1:29" s="7" customFormat="1" ht="11.25">
      <c r="A11" s="124">
        <v>1</v>
      </c>
      <c r="B11" s="141">
        <f>MIN(capacity,B10+pluie!E3*catch/1000-F11*dinm*1000)</f>
        <v>1000000</v>
      </c>
      <c r="C11" s="145">
        <f>B11/capacity</f>
        <v>1</v>
      </c>
      <c r="D11" s="140">
        <v>0.5</v>
      </c>
      <c r="E11" s="122">
        <f>IF(C10&gt;warning,target,target/2)</f>
        <v>7.5</v>
      </c>
      <c r="F11" s="122">
        <f>MIN(E11,B10/1000/dinm)</f>
        <v>7.5</v>
      </c>
      <c r="G11" s="117">
        <f>IF(F11&lt;target*fail,1,0)</f>
        <v>0</v>
      </c>
      <c r="H11" s="117">
        <f>IF(AND(G11=0,G10=1),1,0)</f>
        <v>0</v>
      </c>
      <c r="I11" s="122">
        <f>target-F11</f>
        <v>0</v>
      </c>
      <c r="J11" s="138">
        <f>target*fail</f>
        <v>5.625</v>
      </c>
      <c r="K11" s="10"/>
      <c r="L11" s="141">
        <f>IF(B11&gt;0,100*B11^0.5,1)</f>
        <v>100000</v>
      </c>
      <c r="M11" s="117">
        <f>IF(L11&lt;area,1,0)</f>
        <v>0</v>
      </c>
      <c r="N11" s="117">
        <f>IF(AND(M11=0,M8=1),1,0)</f>
        <v>0</v>
      </c>
      <c r="O11" s="141">
        <f>MAX(0,area-L11)</f>
        <v>0</v>
      </c>
      <c r="P11" s="142">
        <f>area</f>
        <v>75000</v>
      </c>
      <c r="Q11" s="10"/>
      <c r="R11" s="145">
        <f>(B11/(5*length))^0.5</f>
        <v>20</v>
      </c>
      <c r="S11" s="117">
        <f>IF(OR(R11&lt;depthmin,R11&gt;depthmax),1,0)</f>
        <v>0</v>
      </c>
      <c r="T11" s="117">
        <v>0</v>
      </c>
      <c r="U11" s="145">
        <v>0</v>
      </c>
      <c r="V11" s="137">
        <f>depthmin</f>
        <v>15</v>
      </c>
      <c r="W11" s="137">
        <f>depthmax</f>
        <v>30</v>
      </c>
      <c r="Z11" s="141">
        <f>IF(capacity&lt;B10+pluie!E3*catch/1000-F11*dinm*1000,-capacity+B10+pluie!E3*catch/1000-F11*dinm*1000,0)</f>
        <v>1270792.9532780792</v>
      </c>
      <c r="AA11" s="141">
        <f>IF(Z11&gt;0,1,0)</f>
        <v>1</v>
      </c>
      <c r="AB11" s="141"/>
      <c r="AC11" s="10"/>
    </row>
    <row r="12" spans="1:29" s="7" customFormat="1" ht="11.25">
      <c r="A12" s="124">
        <v>2</v>
      </c>
      <c r="B12" s="141">
        <f>MIN(capacity,B11+pluie!E4*catch/1000-F12*dinm*1000)</f>
        <v>1000000</v>
      </c>
      <c r="C12" s="145">
        <f aca="true" t="shared" si="0" ref="C12:C75">B12/capacity</f>
        <v>1</v>
      </c>
      <c r="D12" s="140">
        <v>0.5</v>
      </c>
      <c r="E12" s="122">
        <f>IF(C11&gt;warning,target,target/2)</f>
        <v>7.5</v>
      </c>
      <c r="F12" s="122">
        <f>MIN(E12,B11/1000/dinm)</f>
        <v>7.5</v>
      </c>
      <c r="G12" s="117">
        <f aca="true" t="shared" si="1" ref="G12:G75">IF(F12&lt;target*fail,1,0)</f>
        <v>0</v>
      </c>
      <c r="H12" s="117">
        <f aca="true" t="shared" si="2" ref="H12:H75">IF(AND(G12=0,G11=1),1,0)</f>
        <v>0</v>
      </c>
      <c r="I12" s="122">
        <f>target-F12</f>
        <v>0</v>
      </c>
      <c r="J12" s="138">
        <f aca="true" t="shared" si="3" ref="J12:J75">target*fail</f>
        <v>5.625</v>
      </c>
      <c r="K12" s="10"/>
      <c r="L12" s="141">
        <f aca="true" t="shared" si="4" ref="L12:L75">IF(B12&gt;0,100*B12^0.5,1)</f>
        <v>100000</v>
      </c>
      <c r="M12" s="117">
        <f>IF(L12&lt;area,1,0)</f>
        <v>0</v>
      </c>
      <c r="N12" s="117">
        <f>IF(AND(M12=0,M11=1),1,0)</f>
        <v>0</v>
      </c>
      <c r="O12" s="141">
        <f>MAX(0,area-L12)</f>
        <v>0</v>
      </c>
      <c r="P12" s="142">
        <f aca="true" t="shared" si="5" ref="P12:P75">area</f>
        <v>75000</v>
      </c>
      <c r="Q12" s="10"/>
      <c r="R12" s="145">
        <f aca="true" t="shared" si="6" ref="R12:R75">(B12/(5*length))^0.5</f>
        <v>20</v>
      </c>
      <c r="S12" s="117">
        <f aca="true" t="shared" si="7" ref="S12:S75">IF(OR(R12&lt;depthmin,R12&gt;depthmax),1,0)</f>
        <v>0</v>
      </c>
      <c r="T12" s="117">
        <f>IF(AND(S12=0,S11=1),1,0)</f>
        <v>0</v>
      </c>
      <c r="U12" s="145">
        <f>IF(S12=1,IF(R12&lt;depthmin,ABS(depthmin-R12),ABS(depthmax-R12)),0)</f>
        <v>0</v>
      </c>
      <c r="V12" s="137">
        <f aca="true" t="shared" si="8" ref="V12:V75">depthmin</f>
        <v>15</v>
      </c>
      <c r="W12" s="137">
        <f aca="true" t="shared" si="9" ref="W12:W75">depthmax</f>
        <v>30</v>
      </c>
      <c r="Z12" s="141">
        <f>IF(capacity&lt;B11+pluie!E4*catch/1000-F12*dinm*1000,-capacity+B11+pluie!E4*catch/1000-F12*dinm*1000,0)</f>
        <v>1078483.3937017885</v>
      </c>
      <c r="AA12" s="141">
        <f>IF(Z12&gt;0,1,0)</f>
        <v>1</v>
      </c>
      <c r="AB12" s="141">
        <f>IF(AND(AA12=0,AA11=1),1,0)</f>
        <v>0</v>
      </c>
      <c r="AC12" s="10"/>
    </row>
    <row r="13" spans="1:29" s="7" customFormat="1" ht="11.25">
      <c r="A13" s="124">
        <v>3</v>
      </c>
      <c r="B13" s="141">
        <f>MIN(capacity,B12+pluie!E5*catch/1000-F13*dinm*1000)</f>
        <v>1000000</v>
      </c>
      <c r="C13" s="145">
        <f t="shared" si="0"/>
        <v>1</v>
      </c>
      <c r="D13" s="140">
        <v>0.5</v>
      </c>
      <c r="E13" s="122">
        <f aca="true" t="shared" si="10" ref="E13:E76">IF(C12&gt;warning,target,target/2)</f>
        <v>7.5</v>
      </c>
      <c r="F13" s="122">
        <f aca="true" t="shared" si="11" ref="F13:F76">MIN(E13,B12/1000/dinm)</f>
        <v>7.5</v>
      </c>
      <c r="G13" s="117">
        <f t="shared" si="1"/>
        <v>0</v>
      </c>
      <c r="H13" s="117">
        <f t="shared" si="2"/>
        <v>0</v>
      </c>
      <c r="I13" s="122">
        <f aca="true" t="shared" si="12" ref="I13:I75">target-F13</f>
        <v>0</v>
      </c>
      <c r="J13" s="138">
        <f t="shared" si="3"/>
        <v>5.625</v>
      </c>
      <c r="K13" s="10"/>
      <c r="L13" s="141">
        <f t="shared" si="4"/>
        <v>100000</v>
      </c>
      <c r="M13" s="117">
        <f aca="true" t="shared" si="13" ref="M13:M75">IF(L13&lt;area,1,0)</f>
        <v>0</v>
      </c>
      <c r="N13" s="117">
        <f aca="true" t="shared" si="14" ref="N13:N75">IF(AND(M13=0,M12=1),1,0)</f>
        <v>0</v>
      </c>
      <c r="O13" s="141">
        <f aca="true" t="shared" si="15" ref="O13:O75">MAX(0,area-L13)</f>
        <v>0</v>
      </c>
      <c r="P13" s="142">
        <f t="shared" si="5"/>
        <v>75000</v>
      </c>
      <c r="Q13" s="10"/>
      <c r="R13" s="145">
        <f t="shared" si="6"/>
        <v>20</v>
      </c>
      <c r="S13" s="117">
        <f t="shared" si="7"/>
        <v>0</v>
      </c>
      <c r="T13" s="117">
        <f aca="true" t="shared" si="16" ref="T13:T76">IF(AND(S13=0,S12=1),1,0)</f>
        <v>0</v>
      </c>
      <c r="U13" s="145">
        <f aca="true" t="shared" si="17" ref="U13:U76">IF(S13=1,IF(R13&lt;depthmin,ABS(depthmin-R13),ABS(depthmax-R13)),0)</f>
        <v>0</v>
      </c>
      <c r="V13" s="137">
        <f t="shared" si="8"/>
        <v>15</v>
      </c>
      <c r="W13" s="137">
        <f t="shared" si="9"/>
        <v>30</v>
      </c>
      <c r="Z13" s="141">
        <f>IF(capacity&lt;B12+pluie!E5*catch/1000-F13*dinm*1000,-capacity+B12+pluie!E5*catch/1000-F13*dinm*1000,0)</f>
        <v>636105.2813512674</v>
      </c>
      <c r="AA13" s="141">
        <f aca="true" t="shared" si="18" ref="AA13:AA76">IF(Z13&gt;0,1,0)</f>
        <v>1</v>
      </c>
      <c r="AB13" s="141">
        <f aca="true" t="shared" si="19" ref="AB13:AB76">IF(AND(AA13=0,AA12=1),1,0)</f>
        <v>0</v>
      </c>
      <c r="AC13" s="10"/>
    </row>
    <row r="14" spans="1:29" s="7" customFormat="1" ht="11.25">
      <c r="A14" s="124">
        <v>4</v>
      </c>
      <c r="B14" s="141">
        <f>MIN(capacity,B13+pluie!E6*catch/1000-F14*dinm*1000)</f>
        <v>771875</v>
      </c>
      <c r="C14" s="145">
        <f t="shared" si="0"/>
        <v>0.771875</v>
      </c>
      <c r="D14" s="140">
        <v>0.5</v>
      </c>
      <c r="E14" s="122">
        <f t="shared" si="10"/>
        <v>7.5</v>
      </c>
      <c r="F14" s="122">
        <f t="shared" si="11"/>
        <v>7.5</v>
      </c>
      <c r="G14" s="117">
        <f t="shared" si="1"/>
        <v>0</v>
      </c>
      <c r="H14" s="117">
        <f t="shared" si="2"/>
        <v>0</v>
      </c>
      <c r="I14" s="122">
        <f t="shared" si="12"/>
        <v>0</v>
      </c>
      <c r="J14" s="138">
        <f t="shared" si="3"/>
        <v>5.625</v>
      </c>
      <c r="K14" s="10"/>
      <c r="L14" s="141">
        <f t="shared" si="4"/>
        <v>87856.4169540279</v>
      </c>
      <c r="M14" s="117">
        <f t="shared" si="13"/>
        <v>0</v>
      </c>
      <c r="N14" s="117">
        <f t="shared" si="14"/>
        <v>0</v>
      </c>
      <c r="O14" s="141">
        <f t="shared" si="15"/>
        <v>0</v>
      </c>
      <c r="P14" s="142">
        <f t="shared" si="5"/>
        <v>75000</v>
      </c>
      <c r="Q14" s="10"/>
      <c r="R14" s="145">
        <f t="shared" si="6"/>
        <v>17.57128339080558</v>
      </c>
      <c r="S14" s="117">
        <f t="shared" si="7"/>
        <v>0</v>
      </c>
      <c r="T14" s="117">
        <f t="shared" si="16"/>
        <v>0</v>
      </c>
      <c r="U14" s="145">
        <f t="shared" si="17"/>
        <v>0</v>
      </c>
      <c r="V14" s="137">
        <f t="shared" si="8"/>
        <v>15</v>
      </c>
      <c r="W14" s="137">
        <f t="shared" si="9"/>
        <v>30</v>
      </c>
      <c r="Z14" s="141">
        <f>IF(capacity&lt;B13+pluie!E6*catch/1000-F14*dinm*1000,-capacity+B13+pluie!E6*catch/1000-F14*dinm*1000,0)</f>
        <v>0</v>
      </c>
      <c r="AA14" s="141">
        <f t="shared" si="18"/>
        <v>0</v>
      </c>
      <c r="AB14" s="141">
        <f t="shared" si="19"/>
        <v>1</v>
      </c>
      <c r="AC14" s="10"/>
    </row>
    <row r="15" spans="1:29" s="7" customFormat="1" ht="11.25">
      <c r="A15" s="124">
        <v>5</v>
      </c>
      <c r="B15" s="141">
        <f>MIN(capacity,B14+pluie!E7*catch/1000-F15*dinm*1000)</f>
        <v>543750</v>
      </c>
      <c r="C15" s="145">
        <f t="shared" si="0"/>
        <v>0.54375</v>
      </c>
      <c r="D15" s="140">
        <v>0.5</v>
      </c>
      <c r="E15" s="122">
        <f t="shared" si="10"/>
        <v>7.5</v>
      </c>
      <c r="F15" s="122">
        <f>MIN(E15,B14/1000/dinm)</f>
        <v>7.5</v>
      </c>
      <c r="G15" s="117">
        <f t="shared" si="1"/>
        <v>0</v>
      </c>
      <c r="H15" s="117">
        <f t="shared" si="2"/>
        <v>0</v>
      </c>
      <c r="I15" s="122">
        <f t="shared" si="12"/>
        <v>0</v>
      </c>
      <c r="J15" s="138">
        <f t="shared" si="3"/>
        <v>5.625</v>
      </c>
      <c r="K15" s="10"/>
      <c r="L15" s="141">
        <f t="shared" si="4"/>
        <v>73739.40601876314</v>
      </c>
      <c r="M15" s="117">
        <f t="shared" si="13"/>
        <v>1</v>
      </c>
      <c r="N15" s="117">
        <f t="shared" si="14"/>
        <v>0</v>
      </c>
      <c r="O15" s="141">
        <f t="shared" si="15"/>
        <v>1260.5939812368597</v>
      </c>
      <c r="P15" s="142">
        <f t="shared" si="5"/>
        <v>75000</v>
      </c>
      <c r="Q15" s="10"/>
      <c r="R15" s="145">
        <f t="shared" si="6"/>
        <v>14.747881203752625</v>
      </c>
      <c r="S15" s="117">
        <f t="shared" si="7"/>
        <v>1</v>
      </c>
      <c r="T15" s="117">
        <f t="shared" si="16"/>
        <v>0</v>
      </c>
      <c r="U15" s="145">
        <f t="shared" si="17"/>
        <v>0.252118796247375</v>
      </c>
      <c r="V15" s="137">
        <f t="shared" si="8"/>
        <v>15</v>
      </c>
      <c r="W15" s="137">
        <f t="shared" si="9"/>
        <v>30</v>
      </c>
      <c r="Z15" s="141">
        <f>IF(capacity&lt;B14+pluie!E7*catch/1000-F15*dinm*1000,-capacity+B14+pluie!E7*catch/1000-F15*dinm*1000,0)</f>
        <v>0</v>
      </c>
      <c r="AA15" s="141">
        <f t="shared" si="18"/>
        <v>0</v>
      </c>
      <c r="AB15" s="141">
        <f t="shared" si="19"/>
        <v>0</v>
      </c>
      <c r="AC15" s="10"/>
    </row>
    <row r="16" spans="1:29" s="7" customFormat="1" ht="11.25">
      <c r="A16" s="124">
        <v>6</v>
      </c>
      <c r="B16" s="141">
        <f>MIN(capacity,B15+pluie!E8*catch/1000-F16*dinm*1000)</f>
        <v>315625</v>
      </c>
      <c r="C16" s="145">
        <f t="shared" si="0"/>
        <v>0.315625</v>
      </c>
      <c r="D16" s="140">
        <v>0.5</v>
      </c>
      <c r="E16" s="122">
        <f t="shared" si="10"/>
        <v>7.5</v>
      </c>
      <c r="F16" s="122">
        <f t="shared" si="11"/>
        <v>7.5</v>
      </c>
      <c r="G16" s="117">
        <f t="shared" si="1"/>
        <v>0</v>
      </c>
      <c r="H16" s="117">
        <f t="shared" si="2"/>
        <v>0</v>
      </c>
      <c r="I16" s="122">
        <f t="shared" si="12"/>
        <v>0</v>
      </c>
      <c r="J16" s="138">
        <f t="shared" si="3"/>
        <v>5.625</v>
      </c>
      <c r="K16" s="10"/>
      <c r="L16" s="141">
        <f t="shared" si="4"/>
        <v>56180.51263561058</v>
      </c>
      <c r="M16" s="117">
        <f t="shared" si="13"/>
        <v>1</v>
      </c>
      <c r="N16" s="117">
        <f t="shared" si="14"/>
        <v>0</v>
      </c>
      <c r="O16" s="141">
        <f t="shared" si="15"/>
        <v>18819.487364389417</v>
      </c>
      <c r="P16" s="142">
        <f t="shared" si="5"/>
        <v>75000</v>
      </c>
      <c r="Q16" s="10"/>
      <c r="R16" s="145">
        <f t="shared" si="6"/>
        <v>11.236102527122116</v>
      </c>
      <c r="S16" s="117">
        <f t="shared" si="7"/>
        <v>1</v>
      </c>
      <c r="T16" s="117">
        <f t="shared" si="16"/>
        <v>0</v>
      </c>
      <c r="U16" s="145">
        <f t="shared" si="17"/>
        <v>3.7638974728778845</v>
      </c>
      <c r="V16" s="137">
        <f t="shared" si="8"/>
        <v>15</v>
      </c>
      <c r="W16" s="137">
        <f t="shared" si="9"/>
        <v>30</v>
      </c>
      <c r="Z16" s="141">
        <f>IF(capacity&lt;B15+pluie!E8*catch/1000-F16*dinm*1000,-capacity+B15+pluie!E8*catch/1000-F16*dinm*1000,0)</f>
        <v>0</v>
      </c>
      <c r="AA16" s="141">
        <f t="shared" si="18"/>
        <v>0</v>
      </c>
      <c r="AB16" s="141">
        <f t="shared" si="19"/>
        <v>0</v>
      </c>
      <c r="AC16" s="10"/>
    </row>
    <row r="17" spans="1:29" s="7" customFormat="1" ht="11.25">
      <c r="A17" s="124">
        <v>7</v>
      </c>
      <c r="B17" s="141">
        <f>MIN(capacity,B16+pluie!E9*catch/1000-F17*dinm*1000)</f>
        <v>1000000</v>
      </c>
      <c r="C17" s="145">
        <f t="shared" si="0"/>
        <v>1</v>
      </c>
      <c r="D17" s="140">
        <v>0.5</v>
      </c>
      <c r="E17" s="122">
        <f>IF(C16&gt;warning,target,target/2)</f>
        <v>3.75</v>
      </c>
      <c r="F17" s="122">
        <f t="shared" si="11"/>
        <v>3.75</v>
      </c>
      <c r="G17" s="117">
        <f t="shared" si="1"/>
        <v>1</v>
      </c>
      <c r="H17" s="117">
        <f t="shared" si="2"/>
        <v>0</v>
      </c>
      <c r="I17" s="122">
        <f t="shared" si="12"/>
        <v>3.75</v>
      </c>
      <c r="J17" s="138">
        <f t="shared" si="3"/>
        <v>5.625</v>
      </c>
      <c r="K17" s="10"/>
      <c r="L17" s="141">
        <f t="shared" si="4"/>
        <v>100000</v>
      </c>
      <c r="M17" s="117">
        <f t="shared" si="13"/>
        <v>0</v>
      </c>
      <c r="N17" s="117">
        <f t="shared" si="14"/>
        <v>1</v>
      </c>
      <c r="O17" s="141">
        <f t="shared" si="15"/>
        <v>0</v>
      </c>
      <c r="P17" s="142">
        <f t="shared" si="5"/>
        <v>75000</v>
      </c>
      <c r="Q17" s="10"/>
      <c r="R17" s="145">
        <f t="shared" si="6"/>
        <v>20</v>
      </c>
      <c r="S17" s="117">
        <f t="shared" si="7"/>
        <v>0</v>
      </c>
      <c r="T17" s="117">
        <f t="shared" si="16"/>
        <v>1</v>
      </c>
      <c r="U17" s="145">
        <f t="shared" si="17"/>
        <v>0</v>
      </c>
      <c r="V17" s="137">
        <f t="shared" si="8"/>
        <v>15</v>
      </c>
      <c r="W17" s="137">
        <f t="shared" si="9"/>
        <v>30</v>
      </c>
      <c r="Z17" s="141">
        <f>IF(capacity&lt;B16+pluie!E9*catch/1000-F17*dinm*1000,-capacity+B16+pluie!E9*catch/1000-F17*dinm*1000,0)</f>
        <v>247507.2117692926</v>
      </c>
      <c r="AA17" s="141">
        <f t="shared" si="18"/>
        <v>1</v>
      </c>
      <c r="AB17" s="141">
        <f t="shared" si="19"/>
        <v>0</v>
      </c>
      <c r="AC17" s="10"/>
    </row>
    <row r="18" spans="1:29" s="7" customFormat="1" ht="11.25">
      <c r="A18" s="124">
        <v>8</v>
      </c>
      <c r="B18" s="141">
        <f>MIN(capacity,B17+pluie!E10*catch/1000-F18*dinm*1000)</f>
        <v>1000000</v>
      </c>
      <c r="C18" s="145">
        <f t="shared" si="0"/>
        <v>1</v>
      </c>
      <c r="D18" s="140">
        <v>0.5</v>
      </c>
      <c r="E18" s="122">
        <f t="shared" si="10"/>
        <v>7.5</v>
      </c>
      <c r="F18" s="122">
        <f t="shared" si="11"/>
        <v>7.5</v>
      </c>
      <c r="G18" s="117">
        <f t="shared" si="1"/>
        <v>0</v>
      </c>
      <c r="H18" s="117">
        <f t="shared" si="2"/>
        <v>1</v>
      </c>
      <c r="I18" s="122">
        <f t="shared" si="12"/>
        <v>0</v>
      </c>
      <c r="J18" s="138">
        <f t="shared" si="3"/>
        <v>5.625</v>
      </c>
      <c r="K18" s="10"/>
      <c r="L18" s="141">
        <f t="shared" si="4"/>
        <v>100000</v>
      </c>
      <c r="M18" s="117">
        <f t="shared" si="13"/>
        <v>0</v>
      </c>
      <c r="N18" s="117">
        <f t="shared" si="14"/>
        <v>0</v>
      </c>
      <c r="O18" s="141">
        <f t="shared" si="15"/>
        <v>0</v>
      </c>
      <c r="P18" s="142">
        <f t="shared" si="5"/>
        <v>75000</v>
      </c>
      <c r="Q18" s="10"/>
      <c r="R18" s="145">
        <f t="shared" si="6"/>
        <v>20</v>
      </c>
      <c r="S18" s="117">
        <f t="shared" si="7"/>
        <v>0</v>
      </c>
      <c r="T18" s="117">
        <f t="shared" si="16"/>
        <v>0</v>
      </c>
      <c r="U18" s="145">
        <f t="shared" si="17"/>
        <v>0</v>
      </c>
      <c r="V18" s="137">
        <f t="shared" si="8"/>
        <v>15</v>
      </c>
      <c r="W18" s="137">
        <f t="shared" si="9"/>
        <v>30</v>
      </c>
      <c r="Z18" s="141">
        <f>IF(capacity&lt;B17+pluie!E10*catch/1000-F18*dinm*1000,-capacity+B17+pluie!E10*catch/1000-F18*dinm*1000,0)</f>
        <v>607891.3637838558</v>
      </c>
      <c r="AA18" s="141">
        <f t="shared" si="18"/>
        <v>1</v>
      </c>
      <c r="AB18" s="141">
        <f t="shared" si="19"/>
        <v>0</v>
      </c>
      <c r="AC18" s="10"/>
    </row>
    <row r="19" spans="1:29" s="7" customFormat="1" ht="11.25">
      <c r="A19" s="124">
        <v>9</v>
      </c>
      <c r="B19" s="141">
        <f>MIN(capacity,B18+pluie!E11*catch/1000-F19*dinm*1000)</f>
        <v>1000000</v>
      </c>
      <c r="C19" s="145">
        <f t="shared" si="0"/>
        <v>1</v>
      </c>
      <c r="D19" s="140">
        <v>0.5</v>
      </c>
      <c r="E19" s="122">
        <f t="shared" si="10"/>
        <v>7.5</v>
      </c>
      <c r="F19" s="122">
        <f t="shared" si="11"/>
        <v>7.5</v>
      </c>
      <c r="G19" s="117">
        <f t="shared" si="1"/>
        <v>0</v>
      </c>
      <c r="H19" s="117">
        <f t="shared" si="2"/>
        <v>0</v>
      </c>
      <c r="I19" s="122">
        <f>target-F19</f>
        <v>0</v>
      </c>
      <c r="J19" s="138">
        <f t="shared" si="3"/>
        <v>5.625</v>
      </c>
      <c r="K19" s="10"/>
      <c r="L19" s="141">
        <f t="shared" si="4"/>
        <v>100000</v>
      </c>
      <c r="M19" s="117">
        <f t="shared" si="13"/>
        <v>0</v>
      </c>
      <c r="N19" s="117">
        <f t="shared" si="14"/>
        <v>0</v>
      </c>
      <c r="O19" s="141">
        <f t="shared" si="15"/>
        <v>0</v>
      </c>
      <c r="P19" s="142">
        <f t="shared" si="5"/>
        <v>75000</v>
      </c>
      <c r="Q19" s="10"/>
      <c r="R19" s="145">
        <f t="shared" si="6"/>
        <v>20</v>
      </c>
      <c r="S19" s="117">
        <f t="shared" si="7"/>
        <v>0</v>
      </c>
      <c r="T19" s="117">
        <f t="shared" si="16"/>
        <v>0</v>
      </c>
      <c r="U19" s="145">
        <f t="shared" si="17"/>
        <v>0</v>
      </c>
      <c r="V19" s="137">
        <f t="shared" si="8"/>
        <v>15</v>
      </c>
      <c r="W19" s="137">
        <f t="shared" si="9"/>
        <v>30</v>
      </c>
      <c r="Z19" s="141">
        <f>IF(capacity&lt;B18+pluie!E11*catch/1000-F19*dinm*1000,-capacity+B18+pluie!E11*catch/1000-F19*dinm*1000,0)</f>
        <v>424132.0149190129</v>
      </c>
      <c r="AA19" s="141">
        <f t="shared" si="18"/>
        <v>1</v>
      </c>
      <c r="AB19" s="141">
        <f t="shared" si="19"/>
        <v>0</v>
      </c>
      <c r="AC19" s="10"/>
    </row>
    <row r="20" spans="1:29" s="7" customFormat="1" ht="11.25">
      <c r="A20" s="124">
        <v>10</v>
      </c>
      <c r="B20" s="141">
        <f>MIN(capacity,B19+pluie!E12*catch/1000-F20*dinm*1000)</f>
        <v>1000000</v>
      </c>
      <c r="C20" s="145">
        <f t="shared" si="0"/>
        <v>1</v>
      </c>
      <c r="D20" s="140">
        <v>0.5</v>
      </c>
      <c r="E20" s="122">
        <f t="shared" si="10"/>
        <v>7.5</v>
      </c>
      <c r="F20" s="122">
        <f t="shared" si="11"/>
        <v>7.5</v>
      </c>
      <c r="G20" s="117">
        <f t="shared" si="1"/>
        <v>0</v>
      </c>
      <c r="H20" s="117">
        <f t="shared" si="2"/>
        <v>0</v>
      </c>
      <c r="I20" s="122">
        <f t="shared" si="12"/>
        <v>0</v>
      </c>
      <c r="J20" s="138">
        <f t="shared" si="3"/>
        <v>5.625</v>
      </c>
      <c r="K20" s="10"/>
      <c r="L20" s="141">
        <f t="shared" si="4"/>
        <v>100000</v>
      </c>
      <c r="M20" s="117">
        <f t="shared" si="13"/>
        <v>0</v>
      </c>
      <c r="N20" s="117">
        <f t="shared" si="14"/>
        <v>0</v>
      </c>
      <c r="O20" s="141">
        <f t="shared" si="15"/>
        <v>0</v>
      </c>
      <c r="P20" s="142">
        <f t="shared" si="5"/>
        <v>75000</v>
      </c>
      <c r="Q20" s="10"/>
      <c r="R20" s="145">
        <f t="shared" si="6"/>
        <v>20</v>
      </c>
      <c r="S20" s="117">
        <f t="shared" si="7"/>
        <v>0</v>
      </c>
      <c r="T20" s="117">
        <f t="shared" si="16"/>
        <v>0</v>
      </c>
      <c r="U20" s="145">
        <f t="shared" si="17"/>
        <v>0</v>
      </c>
      <c r="V20" s="137">
        <f t="shared" si="8"/>
        <v>15</v>
      </c>
      <c r="W20" s="137">
        <f t="shared" si="9"/>
        <v>30</v>
      </c>
      <c r="Z20" s="141">
        <f>IF(capacity&lt;B19+pluie!E12*catch/1000-F20*dinm*1000,-capacity+B19+pluie!E12*catch/1000-F20*dinm*1000,0)</f>
        <v>497592.3588945654</v>
      </c>
      <c r="AA20" s="141">
        <f t="shared" si="18"/>
        <v>1</v>
      </c>
      <c r="AB20" s="141">
        <f t="shared" si="19"/>
        <v>0</v>
      </c>
      <c r="AC20" s="10"/>
    </row>
    <row r="21" spans="1:29" s="7" customFormat="1" ht="11.25">
      <c r="A21" s="124">
        <v>11</v>
      </c>
      <c r="B21" s="141">
        <f>MIN(capacity,B20+pluie!E13*catch/1000-F21*dinm*1000)</f>
        <v>1000000</v>
      </c>
      <c r="C21" s="145">
        <f t="shared" si="0"/>
        <v>1</v>
      </c>
      <c r="D21" s="140">
        <v>0.5</v>
      </c>
      <c r="E21" s="122">
        <f t="shared" si="10"/>
        <v>7.5</v>
      </c>
      <c r="F21" s="122">
        <f t="shared" si="11"/>
        <v>7.5</v>
      </c>
      <c r="G21" s="117">
        <f t="shared" si="1"/>
        <v>0</v>
      </c>
      <c r="H21" s="117">
        <f t="shared" si="2"/>
        <v>0</v>
      </c>
      <c r="I21" s="122">
        <f t="shared" si="12"/>
        <v>0</v>
      </c>
      <c r="J21" s="138">
        <f t="shared" si="3"/>
        <v>5.625</v>
      </c>
      <c r="K21" s="10"/>
      <c r="L21" s="141">
        <f t="shared" si="4"/>
        <v>100000</v>
      </c>
      <c r="M21" s="117">
        <f t="shared" si="13"/>
        <v>0</v>
      </c>
      <c r="N21" s="117">
        <f t="shared" si="14"/>
        <v>0</v>
      </c>
      <c r="O21" s="141">
        <f t="shared" si="15"/>
        <v>0</v>
      </c>
      <c r="P21" s="142">
        <f t="shared" si="5"/>
        <v>75000</v>
      </c>
      <c r="Q21" s="10"/>
      <c r="R21" s="145">
        <f t="shared" si="6"/>
        <v>20</v>
      </c>
      <c r="S21" s="117">
        <f t="shared" si="7"/>
        <v>0</v>
      </c>
      <c r="T21" s="117">
        <f t="shared" si="16"/>
        <v>0</v>
      </c>
      <c r="U21" s="145">
        <f t="shared" si="17"/>
        <v>0</v>
      </c>
      <c r="V21" s="137">
        <f t="shared" si="8"/>
        <v>15</v>
      </c>
      <c r="W21" s="137">
        <f t="shared" si="9"/>
        <v>30</v>
      </c>
      <c r="Z21" s="141">
        <f>IF(capacity&lt;B20+pluie!E13*catch/1000-F21*dinm*1000,-capacity+B20+pluie!E13*catch/1000-F21*dinm*1000,0)</f>
        <v>107107.5535561589</v>
      </c>
      <c r="AA21" s="141">
        <f t="shared" si="18"/>
        <v>1</v>
      </c>
      <c r="AB21" s="141">
        <f t="shared" si="19"/>
        <v>0</v>
      </c>
      <c r="AC21" s="10"/>
    </row>
    <row r="22" spans="1:29" s="7" customFormat="1" ht="11.25">
      <c r="A22" s="124">
        <v>12</v>
      </c>
      <c r="B22" s="141">
        <f>MIN(capacity,B21+pluie!E14*catch/1000-F22*dinm*1000)</f>
        <v>1000000</v>
      </c>
      <c r="C22" s="145">
        <f t="shared" si="0"/>
        <v>1</v>
      </c>
      <c r="D22" s="140">
        <v>0.5</v>
      </c>
      <c r="E22" s="122">
        <f t="shared" si="10"/>
        <v>7.5</v>
      </c>
      <c r="F22" s="122">
        <f t="shared" si="11"/>
        <v>7.5</v>
      </c>
      <c r="G22" s="117">
        <f t="shared" si="1"/>
        <v>0</v>
      </c>
      <c r="H22" s="117">
        <f t="shared" si="2"/>
        <v>0</v>
      </c>
      <c r="I22" s="122">
        <f t="shared" si="12"/>
        <v>0</v>
      </c>
      <c r="J22" s="138">
        <f t="shared" si="3"/>
        <v>5.625</v>
      </c>
      <c r="K22" s="10"/>
      <c r="L22" s="141">
        <f t="shared" si="4"/>
        <v>100000</v>
      </c>
      <c r="M22" s="117">
        <f t="shared" si="13"/>
        <v>0</v>
      </c>
      <c r="N22" s="117">
        <f t="shared" si="14"/>
        <v>0</v>
      </c>
      <c r="O22" s="141">
        <f t="shared" si="15"/>
        <v>0</v>
      </c>
      <c r="P22" s="142">
        <f t="shared" si="5"/>
        <v>75000</v>
      </c>
      <c r="Q22" s="10"/>
      <c r="R22" s="145">
        <f t="shared" si="6"/>
        <v>20</v>
      </c>
      <c r="S22" s="117">
        <f t="shared" si="7"/>
        <v>0</v>
      </c>
      <c r="T22" s="117">
        <f t="shared" si="16"/>
        <v>0</v>
      </c>
      <c r="U22" s="145">
        <f t="shared" si="17"/>
        <v>0</v>
      </c>
      <c r="V22" s="137">
        <f t="shared" si="8"/>
        <v>15</v>
      </c>
      <c r="W22" s="137">
        <f t="shared" si="9"/>
        <v>30</v>
      </c>
      <c r="Z22" s="141">
        <f>IF(capacity&lt;B21+pluie!E14*catch/1000-F22*dinm*1000,-capacity+B21+pluie!E14*catch/1000-F22*dinm*1000,0)</f>
        <v>809654.8017661019</v>
      </c>
      <c r="AA22" s="141">
        <f t="shared" si="18"/>
        <v>1</v>
      </c>
      <c r="AB22" s="141">
        <f t="shared" si="19"/>
        <v>0</v>
      </c>
      <c r="AC22" s="10"/>
    </row>
    <row r="23" spans="1:29" s="7" customFormat="1" ht="11.25">
      <c r="A23" s="124">
        <v>13</v>
      </c>
      <c r="B23" s="141">
        <f>MIN(capacity,B22+pluie!E15*catch/1000-F23*dinm*1000)</f>
        <v>1000000</v>
      </c>
      <c r="C23" s="145">
        <f t="shared" si="0"/>
        <v>1</v>
      </c>
      <c r="D23" s="140">
        <v>0.5</v>
      </c>
      <c r="E23" s="122">
        <f t="shared" si="10"/>
        <v>7.5</v>
      </c>
      <c r="F23" s="122">
        <f t="shared" si="11"/>
        <v>7.5</v>
      </c>
      <c r="G23" s="117">
        <f t="shared" si="1"/>
        <v>0</v>
      </c>
      <c r="H23" s="117">
        <f t="shared" si="2"/>
        <v>0</v>
      </c>
      <c r="I23" s="122">
        <f t="shared" si="12"/>
        <v>0</v>
      </c>
      <c r="J23" s="138">
        <f t="shared" si="3"/>
        <v>5.625</v>
      </c>
      <c r="K23" s="10"/>
      <c r="L23" s="141">
        <f t="shared" si="4"/>
        <v>100000</v>
      </c>
      <c r="M23" s="117">
        <f t="shared" si="13"/>
        <v>0</v>
      </c>
      <c r="N23" s="117">
        <f t="shared" si="14"/>
        <v>0</v>
      </c>
      <c r="O23" s="141">
        <f t="shared" si="15"/>
        <v>0</v>
      </c>
      <c r="P23" s="142">
        <f t="shared" si="5"/>
        <v>75000</v>
      </c>
      <c r="Q23" s="10"/>
      <c r="R23" s="145">
        <f t="shared" si="6"/>
        <v>20</v>
      </c>
      <c r="S23" s="117">
        <f t="shared" si="7"/>
        <v>0</v>
      </c>
      <c r="T23" s="117">
        <f t="shared" si="16"/>
        <v>0</v>
      </c>
      <c r="U23" s="145">
        <f t="shared" si="17"/>
        <v>0</v>
      </c>
      <c r="V23" s="137">
        <f t="shared" si="8"/>
        <v>15</v>
      </c>
      <c r="W23" s="137">
        <f t="shared" si="9"/>
        <v>30</v>
      </c>
      <c r="Z23" s="141">
        <f>IF(capacity&lt;B22+pluie!E15*catch/1000-F23*dinm*1000,-capacity+B22+pluie!E15*catch/1000-F23*dinm*1000,0)</f>
        <v>137792.95327807928</v>
      </c>
      <c r="AA23" s="141">
        <f t="shared" si="18"/>
        <v>1</v>
      </c>
      <c r="AB23" s="141">
        <f t="shared" si="19"/>
        <v>0</v>
      </c>
      <c r="AC23" s="10"/>
    </row>
    <row r="24" spans="1:29" s="7" customFormat="1" ht="11.25">
      <c r="A24" s="124">
        <v>14</v>
      </c>
      <c r="B24" s="141">
        <f>MIN(capacity,B23+pluie!E16*catch/1000-F24*dinm*1000)</f>
        <v>1000000</v>
      </c>
      <c r="C24" s="145">
        <f t="shared" si="0"/>
        <v>1</v>
      </c>
      <c r="D24" s="140">
        <v>0.5</v>
      </c>
      <c r="E24" s="122">
        <f t="shared" si="10"/>
        <v>7.5</v>
      </c>
      <c r="F24" s="122">
        <f t="shared" si="11"/>
        <v>7.5</v>
      </c>
      <c r="G24" s="117">
        <f t="shared" si="1"/>
        <v>0</v>
      </c>
      <c r="H24" s="117">
        <f t="shared" si="2"/>
        <v>0</v>
      </c>
      <c r="I24" s="122">
        <f t="shared" si="12"/>
        <v>0</v>
      </c>
      <c r="J24" s="138">
        <f t="shared" si="3"/>
        <v>5.625</v>
      </c>
      <c r="K24" s="10"/>
      <c r="L24" s="141">
        <f t="shared" si="4"/>
        <v>100000</v>
      </c>
      <c r="M24" s="117">
        <f t="shared" si="13"/>
        <v>0</v>
      </c>
      <c r="N24" s="117">
        <f t="shared" si="14"/>
        <v>0</v>
      </c>
      <c r="O24" s="141">
        <f t="shared" si="15"/>
        <v>0</v>
      </c>
      <c r="P24" s="142">
        <f t="shared" si="5"/>
        <v>75000</v>
      </c>
      <c r="Q24" s="10"/>
      <c r="R24" s="145">
        <f t="shared" si="6"/>
        <v>20</v>
      </c>
      <c r="S24" s="117">
        <f t="shared" si="7"/>
        <v>0</v>
      </c>
      <c r="T24" s="117">
        <f t="shared" si="16"/>
        <v>0</v>
      </c>
      <c r="U24" s="145">
        <f t="shared" si="17"/>
        <v>0</v>
      </c>
      <c r="V24" s="137">
        <f t="shared" si="8"/>
        <v>15</v>
      </c>
      <c r="W24" s="137">
        <f t="shared" si="9"/>
        <v>30</v>
      </c>
      <c r="Z24" s="141">
        <f>IF(capacity&lt;B23+pluie!E16*catch/1000-F24*dinm*1000,-capacity+B23+pluie!E16*catch/1000-F24*dinm*1000,0)</f>
        <v>596483.3937017887</v>
      </c>
      <c r="AA24" s="141">
        <f t="shared" si="18"/>
        <v>1</v>
      </c>
      <c r="AB24" s="141">
        <f t="shared" si="19"/>
        <v>0</v>
      </c>
      <c r="AC24" s="10"/>
    </row>
    <row r="25" spans="1:29" s="7" customFormat="1" ht="11.25">
      <c r="A25" s="124">
        <v>15</v>
      </c>
      <c r="B25" s="141">
        <f>MIN(capacity,B24+pluie!E17*catch/1000-F25*dinm*1000)</f>
        <v>1000000</v>
      </c>
      <c r="C25" s="145">
        <f t="shared" si="0"/>
        <v>1</v>
      </c>
      <c r="D25" s="140">
        <v>0.5</v>
      </c>
      <c r="E25" s="122">
        <f t="shared" si="10"/>
        <v>7.5</v>
      </c>
      <c r="F25" s="122">
        <f t="shared" si="11"/>
        <v>7.5</v>
      </c>
      <c r="G25" s="117">
        <f t="shared" si="1"/>
        <v>0</v>
      </c>
      <c r="H25" s="117">
        <f t="shared" si="2"/>
        <v>0</v>
      </c>
      <c r="I25" s="122">
        <f t="shared" si="12"/>
        <v>0</v>
      </c>
      <c r="J25" s="138">
        <f t="shared" si="3"/>
        <v>5.625</v>
      </c>
      <c r="K25" s="10"/>
      <c r="L25" s="141">
        <f t="shared" si="4"/>
        <v>100000</v>
      </c>
      <c r="M25" s="117">
        <f t="shared" si="13"/>
        <v>0</v>
      </c>
      <c r="N25" s="117">
        <f t="shared" si="14"/>
        <v>0</v>
      </c>
      <c r="O25" s="141">
        <f t="shared" si="15"/>
        <v>0</v>
      </c>
      <c r="P25" s="142">
        <f t="shared" si="5"/>
        <v>75000</v>
      </c>
      <c r="Q25" s="10"/>
      <c r="R25" s="145">
        <f t="shared" si="6"/>
        <v>20</v>
      </c>
      <c r="S25" s="117">
        <f t="shared" si="7"/>
        <v>0</v>
      </c>
      <c r="T25" s="117">
        <f t="shared" si="16"/>
        <v>0</v>
      </c>
      <c r="U25" s="145">
        <f t="shared" si="17"/>
        <v>0</v>
      </c>
      <c r="V25" s="137">
        <f t="shared" si="8"/>
        <v>15</v>
      </c>
      <c r="W25" s="137">
        <f t="shared" si="9"/>
        <v>30</v>
      </c>
      <c r="Z25" s="141">
        <f>IF(capacity&lt;B24+pluie!E17*catch/1000-F25*dinm*1000,-capacity+B24+pluie!E17*catch/1000-F25*dinm*1000,0)</f>
        <v>842105.2813512674</v>
      </c>
      <c r="AA25" s="141">
        <f t="shared" si="18"/>
        <v>1</v>
      </c>
      <c r="AB25" s="141">
        <f t="shared" si="19"/>
        <v>0</v>
      </c>
      <c r="AC25" s="10"/>
    </row>
    <row r="26" spans="1:29" s="7" customFormat="1" ht="11.25">
      <c r="A26" s="124">
        <v>16</v>
      </c>
      <c r="B26" s="141">
        <f>MIN(capacity,B25+pluie!E18*catch/1000-F26*dinm*1000)</f>
        <v>1000000</v>
      </c>
      <c r="C26" s="145">
        <f t="shared" si="0"/>
        <v>1</v>
      </c>
      <c r="D26" s="140">
        <v>0.5</v>
      </c>
      <c r="E26" s="122">
        <f t="shared" si="10"/>
        <v>7.5</v>
      </c>
      <c r="F26" s="122">
        <f t="shared" si="11"/>
        <v>7.5</v>
      </c>
      <c r="G26" s="117">
        <f t="shared" si="1"/>
        <v>0</v>
      </c>
      <c r="H26" s="117">
        <f t="shared" si="2"/>
        <v>0</v>
      </c>
      <c r="I26" s="122">
        <f t="shared" si="12"/>
        <v>0</v>
      </c>
      <c r="J26" s="138">
        <f t="shared" si="3"/>
        <v>5.625</v>
      </c>
      <c r="K26" s="10"/>
      <c r="L26" s="141">
        <f t="shared" si="4"/>
        <v>100000</v>
      </c>
      <c r="M26" s="117">
        <f t="shared" si="13"/>
        <v>0</v>
      </c>
      <c r="N26" s="117">
        <f t="shared" si="14"/>
        <v>0</v>
      </c>
      <c r="O26" s="141">
        <f t="shared" si="15"/>
        <v>0</v>
      </c>
      <c r="P26" s="142">
        <f t="shared" si="5"/>
        <v>75000</v>
      </c>
      <c r="Q26" s="10"/>
      <c r="R26" s="145">
        <f t="shared" si="6"/>
        <v>20</v>
      </c>
      <c r="S26" s="117">
        <f t="shared" si="7"/>
        <v>0</v>
      </c>
      <c r="T26" s="117">
        <f t="shared" si="16"/>
        <v>0</v>
      </c>
      <c r="U26" s="145">
        <f t="shared" si="17"/>
        <v>0</v>
      </c>
      <c r="V26" s="137">
        <f t="shared" si="8"/>
        <v>15</v>
      </c>
      <c r="W26" s="137">
        <f t="shared" si="9"/>
        <v>30</v>
      </c>
      <c r="Z26" s="141">
        <f>IF(capacity&lt;B25+pluie!E18*catch/1000-F26*dinm*1000,-capacity+B25+pluie!E18*catch/1000-F26*dinm*1000,0)</f>
        <v>188644.71864873258</v>
      </c>
      <c r="AA26" s="141">
        <f t="shared" si="18"/>
        <v>1</v>
      </c>
      <c r="AB26" s="141">
        <f t="shared" si="19"/>
        <v>0</v>
      </c>
      <c r="AC26" s="10"/>
    </row>
    <row r="27" spans="1:29" s="7" customFormat="1" ht="11.25">
      <c r="A27" s="124">
        <v>17</v>
      </c>
      <c r="B27" s="141">
        <f>MIN(capacity,B26+pluie!E19*catch/1000-F27*dinm*1000)</f>
        <v>771875</v>
      </c>
      <c r="C27" s="145">
        <f t="shared" si="0"/>
        <v>0.771875</v>
      </c>
      <c r="D27" s="140">
        <v>0.5</v>
      </c>
      <c r="E27" s="122">
        <f t="shared" si="10"/>
        <v>7.5</v>
      </c>
      <c r="F27" s="122">
        <f t="shared" si="11"/>
        <v>7.5</v>
      </c>
      <c r="G27" s="117">
        <f t="shared" si="1"/>
        <v>0</v>
      </c>
      <c r="H27" s="117">
        <f t="shared" si="2"/>
        <v>0</v>
      </c>
      <c r="I27" s="122">
        <f t="shared" si="12"/>
        <v>0</v>
      </c>
      <c r="J27" s="138">
        <f t="shared" si="3"/>
        <v>5.625</v>
      </c>
      <c r="K27" s="10"/>
      <c r="L27" s="141">
        <f t="shared" si="4"/>
        <v>87856.4169540279</v>
      </c>
      <c r="M27" s="117">
        <f t="shared" si="13"/>
        <v>0</v>
      </c>
      <c r="N27" s="117">
        <f t="shared" si="14"/>
        <v>0</v>
      </c>
      <c r="O27" s="141">
        <f t="shared" si="15"/>
        <v>0</v>
      </c>
      <c r="P27" s="142">
        <f t="shared" si="5"/>
        <v>75000</v>
      </c>
      <c r="Q27" s="10"/>
      <c r="R27" s="145">
        <f t="shared" si="6"/>
        <v>17.57128339080558</v>
      </c>
      <c r="S27" s="117">
        <f t="shared" si="7"/>
        <v>0</v>
      </c>
      <c r="T27" s="117">
        <f t="shared" si="16"/>
        <v>0</v>
      </c>
      <c r="U27" s="145">
        <f t="shared" si="17"/>
        <v>0</v>
      </c>
      <c r="V27" s="137">
        <f t="shared" si="8"/>
        <v>15</v>
      </c>
      <c r="W27" s="137">
        <f t="shared" si="9"/>
        <v>30</v>
      </c>
      <c r="Z27" s="141">
        <f>IF(capacity&lt;B26+pluie!E19*catch/1000-F27*dinm*1000,-capacity+B26+pluie!E19*catch/1000-F27*dinm*1000,0)</f>
        <v>0</v>
      </c>
      <c r="AA27" s="141">
        <f t="shared" si="18"/>
        <v>0</v>
      </c>
      <c r="AB27" s="141">
        <f t="shared" si="19"/>
        <v>1</v>
      </c>
      <c r="AC27" s="10"/>
    </row>
    <row r="28" spans="1:29" s="7" customFormat="1" ht="11.25">
      <c r="A28" s="124">
        <v>18</v>
      </c>
      <c r="B28" s="141">
        <f>MIN(capacity,B27+pluie!E20*catch/1000-F28*dinm*1000)</f>
        <v>649832.0467219207</v>
      </c>
      <c r="C28" s="145">
        <f t="shared" si="0"/>
        <v>0.6498320467219207</v>
      </c>
      <c r="D28" s="140">
        <v>0.5</v>
      </c>
      <c r="E28" s="122">
        <f t="shared" si="10"/>
        <v>7.5</v>
      </c>
      <c r="F28" s="122">
        <f t="shared" si="11"/>
        <v>7.5</v>
      </c>
      <c r="G28" s="117">
        <f t="shared" si="1"/>
        <v>0</v>
      </c>
      <c r="H28" s="117">
        <f t="shared" si="2"/>
        <v>0</v>
      </c>
      <c r="I28" s="122">
        <f t="shared" si="12"/>
        <v>0</v>
      </c>
      <c r="J28" s="138">
        <f t="shared" si="3"/>
        <v>5.625</v>
      </c>
      <c r="K28" s="10"/>
      <c r="L28" s="141">
        <f t="shared" si="4"/>
        <v>80612.16078991561</v>
      </c>
      <c r="M28" s="117">
        <f t="shared" si="13"/>
        <v>0</v>
      </c>
      <c r="N28" s="117">
        <f t="shared" si="14"/>
        <v>0</v>
      </c>
      <c r="O28" s="141">
        <f t="shared" si="15"/>
        <v>0</v>
      </c>
      <c r="P28" s="142">
        <f t="shared" si="5"/>
        <v>75000</v>
      </c>
      <c r="Q28" s="10"/>
      <c r="R28" s="145">
        <f t="shared" si="6"/>
        <v>16.12243215798312</v>
      </c>
      <c r="S28" s="117">
        <f t="shared" si="7"/>
        <v>0</v>
      </c>
      <c r="T28" s="117">
        <f t="shared" si="16"/>
        <v>0</v>
      </c>
      <c r="U28" s="145">
        <f t="shared" si="17"/>
        <v>0</v>
      </c>
      <c r="V28" s="137">
        <f t="shared" si="8"/>
        <v>15</v>
      </c>
      <c r="W28" s="137">
        <f t="shared" si="9"/>
        <v>30</v>
      </c>
      <c r="Z28" s="141">
        <f>IF(capacity&lt;B27+pluie!E20*catch/1000-F28*dinm*1000,-capacity+B27+pluie!E20*catch/1000-F28*dinm*1000,0)</f>
        <v>0</v>
      </c>
      <c r="AA28" s="141">
        <f t="shared" si="18"/>
        <v>0</v>
      </c>
      <c r="AB28" s="141">
        <f t="shared" si="19"/>
        <v>0</v>
      </c>
      <c r="AC28" s="10"/>
    </row>
    <row r="29" spans="1:29" s="7" customFormat="1" ht="11.25">
      <c r="A29" s="124">
        <v>19</v>
      </c>
      <c r="B29" s="141">
        <f>MIN(capacity,B28+pluie!E21*catch/1000-F29*dinm*1000)</f>
        <v>429651.7584912132</v>
      </c>
      <c r="C29" s="145">
        <f t="shared" si="0"/>
        <v>0.4296517584912132</v>
      </c>
      <c r="D29" s="140">
        <v>0.5</v>
      </c>
      <c r="E29" s="122">
        <f t="shared" si="10"/>
        <v>7.5</v>
      </c>
      <c r="F29" s="122">
        <f t="shared" si="11"/>
        <v>7.5</v>
      </c>
      <c r="G29" s="117">
        <f t="shared" si="1"/>
        <v>0</v>
      </c>
      <c r="H29" s="117">
        <f t="shared" si="2"/>
        <v>0</v>
      </c>
      <c r="I29" s="122">
        <f t="shared" si="12"/>
        <v>0</v>
      </c>
      <c r="J29" s="138">
        <f t="shared" si="3"/>
        <v>5.625</v>
      </c>
      <c r="K29" s="10"/>
      <c r="L29" s="141">
        <f t="shared" si="4"/>
        <v>65547.82669861856</v>
      </c>
      <c r="M29" s="117">
        <f t="shared" si="13"/>
        <v>1</v>
      </c>
      <c r="N29" s="117">
        <f t="shared" si="14"/>
        <v>0</v>
      </c>
      <c r="O29" s="141">
        <f t="shared" si="15"/>
        <v>9452.173301381437</v>
      </c>
      <c r="P29" s="142">
        <f t="shared" si="5"/>
        <v>75000</v>
      </c>
      <c r="Q29" s="10"/>
      <c r="R29" s="145">
        <f t="shared" si="6"/>
        <v>13.109565339723712</v>
      </c>
      <c r="S29" s="117">
        <f t="shared" si="7"/>
        <v>1</v>
      </c>
      <c r="T29" s="117">
        <f t="shared" si="16"/>
        <v>0</v>
      </c>
      <c r="U29" s="145">
        <f t="shared" si="17"/>
        <v>1.8904346602762878</v>
      </c>
      <c r="V29" s="137">
        <f t="shared" si="8"/>
        <v>15</v>
      </c>
      <c r="W29" s="137">
        <f t="shared" si="9"/>
        <v>30</v>
      </c>
      <c r="Z29" s="141">
        <f>IF(capacity&lt;B28+pluie!E21*catch/1000-F29*dinm*1000,-capacity+B28+pluie!E21*catch/1000-F29*dinm*1000,0)</f>
        <v>0</v>
      </c>
      <c r="AA29" s="141">
        <f t="shared" si="18"/>
        <v>0</v>
      </c>
      <c r="AB29" s="141">
        <f t="shared" si="19"/>
        <v>0</v>
      </c>
      <c r="AC29" s="10"/>
    </row>
    <row r="30" spans="1:29" s="7" customFormat="1" ht="11.25">
      <c r="A30" s="124">
        <v>20</v>
      </c>
      <c r="B30" s="141">
        <f>MIN(capacity,B29+pluie!E22*catch/1000-F30*dinm*1000)</f>
        <v>315589.2584912132</v>
      </c>
      <c r="C30" s="145">
        <f t="shared" si="0"/>
        <v>0.3155892584912132</v>
      </c>
      <c r="D30" s="140">
        <v>0.5</v>
      </c>
      <c r="E30" s="122">
        <f t="shared" si="10"/>
        <v>3.75</v>
      </c>
      <c r="F30" s="122">
        <f t="shared" si="11"/>
        <v>3.75</v>
      </c>
      <c r="G30" s="117">
        <f t="shared" si="1"/>
        <v>1</v>
      </c>
      <c r="H30" s="117">
        <f t="shared" si="2"/>
        <v>0</v>
      </c>
      <c r="I30" s="122">
        <f t="shared" si="12"/>
        <v>3.75</v>
      </c>
      <c r="J30" s="138">
        <f t="shared" si="3"/>
        <v>5.625</v>
      </c>
      <c r="K30" s="10"/>
      <c r="L30" s="141">
        <f t="shared" si="4"/>
        <v>56177.331593020084</v>
      </c>
      <c r="M30" s="117">
        <f t="shared" si="13"/>
        <v>1</v>
      </c>
      <c r="N30" s="117">
        <f t="shared" si="14"/>
        <v>0</v>
      </c>
      <c r="O30" s="141">
        <f t="shared" si="15"/>
        <v>18822.668406979916</v>
      </c>
      <c r="P30" s="142">
        <f t="shared" si="5"/>
        <v>75000</v>
      </c>
      <c r="Q30" s="10"/>
      <c r="R30" s="145">
        <f t="shared" si="6"/>
        <v>11.235466318604017</v>
      </c>
      <c r="S30" s="117">
        <f t="shared" si="7"/>
        <v>1</v>
      </c>
      <c r="T30" s="117">
        <f t="shared" si="16"/>
        <v>0</v>
      </c>
      <c r="U30" s="145">
        <f t="shared" si="17"/>
        <v>3.7645336813959833</v>
      </c>
      <c r="V30" s="137">
        <f t="shared" si="8"/>
        <v>15</v>
      </c>
      <c r="W30" s="137">
        <f t="shared" si="9"/>
        <v>30</v>
      </c>
      <c r="Z30" s="141">
        <f>IF(capacity&lt;B29+pluie!E22*catch/1000-F30*dinm*1000,-capacity+B29+pluie!E22*catch/1000-F30*dinm*1000,0)</f>
        <v>0</v>
      </c>
      <c r="AA30" s="141">
        <f t="shared" si="18"/>
        <v>0</v>
      </c>
      <c r="AB30" s="141">
        <f t="shared" si="19"/>
        <v>0</v>
      </c>
      <c r="AC30" s="10"/>
    </row>
    <row r="31" spans="1:29" s="7" customFormat="1" ht="11.25">
      <c r="A31" s="124">
        <v>21</v>
      </c>
      <c r="B31" s="141">
        <f>MIN(capacity,B30+pluie!E23*catch/1000-F31*dinm*1000)</f>
        <v>201526.7584912132</v>
      </c>
      <c r="C31" s="145">
        <f t="shared" si="0"/>
        <v>0.2015267584912132</v>
      </c>
      <c r="D31" s="140">
        <v>0.5</v>
      </c>
      <c r="E31" s="122">
        <f t="shared" si="10"/>
        <v>3.75</v>
      </c>
      <c r="F31" s="122">
        <f t="shared" si="11"/>
        <v>3.75</v>
      </c>
      <c r="G31" s="117">
        <f t="shared" si="1"/>
        <v>1</v>
      </c>
      <c r="H31" s="117">
        <f t="shared" si="2"/>
        <v>0</v>
      </c>
      <c r="I31" s="122">
        <f t="shared" si="12"/>
        <v>3.75</v>
      </c>
      <c r="J31" s="138">
        <f t="shared" si="3"/>
        <v>5.625</v>
      </c>
      <c r="K31" s="10"/>
      <c r="L31" s="141">
        <f t="shared" si="4"/>
        <v>44891.731810124365</v>
      </c>
      <c r="M31" s="117">
        <f t="shared" si="13"/>
        <v>1</v>
      </c>
      <c r="N31" s="117">
        <f t="shared" si="14"/>
        <v>0</v>
      </c>
      <c r="O31" s="141">
        <f>MAX(0,area-L31)</f>
        <v>30108.268189875635</v>
      </c>
      <c r="P31" s="142">
        <f t="shared" si="5"/>
        <v>75000</v>
      </c>
      <c r="Q31" s="10"/>
      <c r="R31" s="145">
        <f t="shared" si="6"/>
        <v>8.978346362024872</v>
      </c>
      <c r="S31" s="117">
        <f t="shared" si="7"/>
        <v>1</v>
      </c>
      <c r="T31" s="117">
        <f t="shared" si="16"/>
        <v>0</v>
      </c>
      <c r="U31" s="145">
        <f t="shared" si="17"/>
        <v>6.0216536379751275</v>
      </c>
      <c r="V31" s="137">
        <f t="shared" si="8"/>
        <v>15</v>
      </c>
      <c r="W31" s="137">
        <f t="shared" si="9"/>
        <v>30</v>
      </c>
      <c r="Z31" s="141">
        <f>IF(capacity&lt;B30+pluie!E23*catch/1000-F31*dinm*1000,-capacity+B30+pluie!E23*catch/1000-F31*dinm*1000,0)</f>
        <v>0</v>
      </c>
      <c r="AA31" s="141">
        <f t="shared" si="18"/>
        <v>0</v>
      </c>
      <c r="AB31" s="141">
        <f t="shared" si="19"/>
        <v>0</v>
      </c>
      <c r="AC31" s="10"/>
    </row>
    <row r="32" spans="1:29" s="7" customFormat="1" ht="11.25">
      <c r="A32" s="124">
        <v>22</v>
      </c>
      <c r="B32" s="141">
        <f>MIN(capacity,B31+pluie!E24*catch/1000-F32*dinm*1000)</f>
        <v>1000000</v>
      </c>
      <c r="C32" s="145">
        <f t="shared" si="0"/>
        <v>1</v>
      </c>
      <c r="D32" s="140">
        <v>0.5</v>
      </c>
      <c r="E32" s="122">
        <f t="shared" si="10"/>
        <v>3.75</v>
      </c>
      <c r="F32" s="122">
        <f t="shared" si="11"/>
        <v>3.75</v>
      </c>
      <c r="G32" s="117">
        <f t="shared" si="1"/>
        <v>1</v>
      </c>
      <c r="H32" s="117">
        <f t="shared" si="2"/>
        <v>0</v>
      </c>
      <c r="I32" s="122">
        <f t="shared" si="12"/>
        <v>3.75</v>
      </c>
      <c r="J32" s="138">
        <f t="shared" si="3"/>
        <v>5.625</v>
      </c>
      <c r="K32" s="10"/>
      <c r="L32" s="141">
        <f t="shared" si="4"/>
        <v>100000</v>
      </c>
      <c r="M32" s="117">
        <f t="shared" si="13"/>
        <v>0</v>
      </c>
      <c r="N32" s="117">
        <f t="shared" si="14"/>
        <v>1</v>
      </c>
      <c r="O32" s="141">
        <f t="shared" si="15"/>
        <v>0</v>
      </c>
      <c r="P32" s="142">
        <f t="shared" si="5"/>
        <v>75000</v>
      </c>
      <c r="Q32" s="10"/>
      <c r="R32" s="145">
        <f t="shared" si="6"/>
        <v>20</v>
      </c>
      <c r="S32" s="117">
        <f t="shared" si="7"/>
        <v>0</v>
      </c>
      <c r="T32" s="117">
        <f t="shared" si="16"/>
        <v>1</v>
      </c>
      <c r="U32" s="145">
        <f t="shared" si="17"/>
        <v>0</v>
      </c>
      <c r="V32" s="137">
        <f t="shared" si="8"/>
        <v>15</v>
      </c>
      <c r="W32" s="137">
        <f t="shared" si="9"/>
        <v>30</v>
      </c>
      <c r="Z32" s="141">
        <f>IF(capacity&lt;B31+pluie!E24*catch/1000-F32*dinm*1000,-capacity+B31+pluie!E24*catch/1000-F32*dinm*1000,0)</f>
        <v>181.61738577845972</v>
      </c>
      <c r="AA32" s="141">
        <f t="shared" si="18"/>
        <v>1</v>
      </c>
      <c r="AB32" s="141">
        <f t="shared" si="19"/>
        <v>0</v>
      </c>
      <c r="AC32" s="10"/>
    </row>
    <row r="33" spans="1:29" s="7" customFormat="1" ht="11.25">
      <c r="A33" s="124">
        <v>23</v>
      </c>
      <c r="B33" s="141">
        <f>MIN(capacity,B32+pluie!E25*catch/1000-F33*dinm*1000)</f>
        <v>1000000</v>
      </c>
      <c r="C33" s="145">
        <f t="shared" si="0"/>
        <v>1</v>
      </c>
      <c r="D33" s="140">
        <v>0.5</v>
      </c>
      <c r="E33" s="122">
        <f t="shared" si="10"/>
        <v>7.5</v>
      </c>
      <c r="F33" s="122">
        <f t="shared" si="11"/>
        <v>7.5</v>
      </c>
      <c r="G33" s="117">
        <f t="shared" si="1"/>
        <v>0</v>
      </c>
      <c r="H33" s="117">
        <f t="shared" si="2"/>
        <v>1</v>
      </c>
      <c r="I33" s="122">
        <f t="shared" si="12"/>
        <v>0</v>
      </c>
      <c r="J33" s="138">
        <f t="shared" si="3"/>
        <v>5.625</v>
      </c>
      <c r="K33" s="10"/>
      <c r="L33" s="141">
        <f t="shared" si="4"/>
        <v>100000</v>
      </c>
      <c r="M33" s="117">
        <f t="shared" si="13"/>
        <v>0</v>
      </c>
      <c r="N33" s="117">
        <f t="shared" si="14"/>
        <v>0</v>
      </c>
      <c r="O33" s="141">
        <f t="shared" si="15"/>
        <v>0</v>
      </c>
      <c r="P33" s="142">
        <f t="shared" si="5"/>
        <v>75000</v>
      </c>
      <c r="Q33" s="10"/>
      <c r="R33" s="145">
        <f t="shared" si="6"/>
        <v>20</v>
      </c>
      <c r="S33" s="117">
        <f t="shared" si="7"/>
        <v>0</v>
      </c>
      <c r="T33" s="117">
        <f t="shared" si="16"/>
        <v>0</v>
      </c>
      <c r="U33" s="145">
        <f t="shared" si="17"/>
        <v>0</v>
      </c>
      <c r="V33" s="137">
        <f t="shared" si="8"/>
        <v>15</v>
      </c>
      <c r="W33" s="137">
        <f t="shared" si="9"/>
        <v>30</v>
      </c>
      <c r="Z33" s="141">
        <f>IF(capacity&lt;B32+pluie!E25*catch/1000-F33*dinm*1000,-capacity+B32+pluie!E25*catch/1000-F33*dinm*1000,0)</f>
        <v>167107.5535561589</v>
      </c>
      <c r="AA33" s="141">
        <f t="shared" si="18"/>
        <v>1</v>
      </c>
      <c r="AB33" s="141">
        <f t="shared" si="19"/>
        <v>0</v>
      </c>
      <c r="AC33" s="10"/>
    </row>
    <row r="34" spans="1:29" s="7" customFormat="1" ht="11.25">
      <c r="A34" s="124">
        <v>24</v>
      </c>
      <c r="B34" s="141">
        <f>MIN(capacity,B33+pluie!E26*catch/1000-F34*dinm*1000)</f>
        <v>1000000</v>
      </c>
      <c r="C34" s="145">
        <f t="shared" si="0"/>
        <v>1</v>
      </c>
      <c r="D34" s="140">
        <v>0.5</v>
      </c>
      <c r="E34" s="122">
        <f t="shared" si="10"/>
        <v>7.5</v>
      </c>
      <c r="F34" s="122">
        <f t="shared" si="11"/>
        <v>7.5</v>
      </c>
      <c r="G34" s="117">
        <f t="shared" si="1"/>
        <v>0</v>
      </c>
      <c r="H34" s="117">
        <f t="shared" si="2"/>
        <v>0</v>
      </c>
      <c r="I34" s="122">
        <f t="shared" si="12"/>
        <v>0</v>
      </c>
      <c r="J34" s="138">
        <f t="shared" si="3"/>
        <v>5.625</v>
      </c>
      <c r="K34" s="10"/>
      <c r="L34" s="141">
        <f t="shared" si="4"/>
        <v>100000</v>
      </c>
      <c r="M34" s="117">
        <f t="shared" si="13"/>
        <v>0</v>
      </c>
      <c r="N34" s="117">
        <f t="shared" si="14"/>
        <v>0</v>
      </c>
      <c r="O34" s="141">
        <f t="shared" si="15"/>
        <v>0</v>
      </c>
      <c r="P34" s="142">
        <f t="shared" si="5"/>
        <v>75000</v>
      </c>
      <c r="Q34" s="10"/>
      <c r="R34" s="145">
        <f t="shared" si="6"/>
        <v>20</v>
      </c>
      <c r="S34" s="117">
        <f t="shared" si="7"/>
        <v>0</v>
      </c>
      <c r="T34" s="117">
        <f t="shared" si="16"/>
        <v>0</v>
      </c>
      <c r="U34" s="145">
        <f t="shared" si="17"/>
        <v>0</v>
      </c>
      <c r="V34" s="137">
        <f t="shared" si="8"/>
        <v>15</v>
      </c>
      <c r="W34" s="137">
        <f t="shared" si="9"/>
        <v>30</v>
      </c>
      <c r="Z34" s="141">
        <f>IF(capacity&lt;B33+pluie!E26*catch/1000-F34*dinm*1000,-capacity+B33+pluie!E26*catch/1000-F34*dinm*1000,0)</f>
        <v>615654.8017661019</v>
      </c>
      <c r="AA34" s="141">
        <f t="shared" si="18"/>
        <v>1</v>
      </c>
      <c r="AB34" s="141">
        <f t="shared" si="19"/>
        <v>0</v>
      </c>
      <c r="AC34" s="10"/>
    </row>
    <row r="35" spans="1:29" s="7" customFormat="1" ht="11.25">
      <c r="A35" s="124">
        <v>25</v>
      </c>
      <c r="B35" s="141">
        <f>MIN(capacity,B34+pluie!E27*catch/1000-F35*dinm*1000)</f>
        <v>1000000</v>
      </c>
      <c r="C35" s="145">
        <f t="shared" si="0"/>
        <v>1</v>
      </c>
      <c r="D35" s="140">
        <v>0.5</v>
      </c>
      <c r="E35" s="122">
        <f t="shared" si="10"/>
        <v>7.5</v>
      </c>
      <c r="F35" s="122">
        <f t="shared" si="11"/>
        <v>7.5</v>
      </c>
      <c r="G35" s="117">
        <f t="shared" si="1"/>
        <v>0</v>
      </c>
      <c r="H35" s="117">
        <f t="shared" si="2"/>
        <v>0</v>
      </c>
      <c r="I35" s="122">
        <f t="shared" si="12"/>
        <v>0</v>
      </c>
      <c r="J35" s="138">
        <f t="shared" si="3"/>
        <v>5.625</v>
      </c>
      <c r="K35" s="10"/>
      <c r="L35" s="141">
        <f t="shared" si="4"/>
        <v>100000</v>
      </c>
      <c r="M35" s="117">
        <f t="shared" si="13"/>
        <v>0</v>
      </c>
      <c r="N35" s="117">
        <f t="shared" si="14"/>
        <v>0</v>
      </c>
      <c r="O35" s="141">
        <f t="shared" si="15"/>
        <v>0</v>
      </c>
      <c r="P35" s="142">
        <f t="shared" si="5"/>
        <v>75000</v>
      </c>
      <c r="Q35" s="10"/>
      <c r="R35" s="145">
        <f t="shared" si="6"/>
        <v>20</v>
      </c>
      <c r="S35" s="117">
        <f t="shared" si="7"/>
        <v>0</v>
      </c>
      <c r="T35" s="117">
        <f t="shared" si="16"/>
        <v>0</v>
      </c>
      <c r="U35" s="145">
        <f t="shared" si="17"/>
        <v>0</v>
      </c>
      <c r="V35" s="137">
        <f t="shared" si="8"/>
        <v>15</v>
      </c>
      <c r="W35" s="137">
        <f t="shared" si="9"/>
        <v>30</v>
      </c>
      <c r="Z35" s="141">
        <f>IF(capacity&lt;B34+pluie!E27*catch/1000-F35*dinm*1000,-capacity+B34+pluie!E27*catch/1000-F35*dinm*1000,0)</f>
        <v>1829792.9532780792</v>
      </c>
      <c r="AA35" s="141">
        <f t="shared" si="18"/>
        <v>1</v>
      </c>
      <c r="AB35" s="141">
        <f t="shared" si="19"/>
        <v>0</v>
      </c>
      <c r="AC35" s="10"/>
    </row>
    <row r="36" spans="1:29" s="7" customFormat="1" ht="11.25">
      <c r="A36" s="124">
        <v>26</v>
      </c>
      <c r="B36" s="141">
        <f>MIN(capacity,B35+pluie!E28*catch/1000-F36*dinm*1000)</f>
        <v>1000000</v>
      </c>
      <c r="C36" s="145">
        <f t="shared" si="0"/>
        <v>1</v>
      </c>
      <c r="D36" s="140">
        <v>0.5</v>
      </c>
      <c r="E36" s="122">
        <f t="shared" si="10"/>
        <v>7.5</v>
      </c>
      <c r="F36" s="122">
        <f t="shared" si="11"/>
        <v>7.5</v>
      </c>
      <c r="G36" s="117">
        <f t="shared" si="1"/>
        <v>0</v>
      </c>
      <c r="H36" s="117">
        <f t="shared" si="2"/>
        <v>0</v>
      </c>
      <c r="I36" s="122">
        <f t="shared" si="12"/>
        <v>0</v>
      </c>
      <c r="J36" s="138">
        <f t="shared" si="3"/>
        <v>5.625</v>
      </c>
      <c r="K36" s="10"/>
      <c r="L36" s="141">
        <f t="shared" si="4"/>
        <v>100000</v>
      </c>
      <c r="M36" s="117">
        <f t="shared" si="13"/>
        <v>0</v>
      </c>
      <c r="N36" s="117">
        <f t="shared" si="14"/>
        <v>0</v>
      </c>
      <c r="O36" s="141">
        <f t="shared" si="15"/>
        <v>0</v>
      </c>
      <c r="P36" s="142">
        <f t="shared" si="5"/>
        <v>75000</v>
      </c>
      <c r="Q36" s="10"/>
      <c r="R36" s="145">
        <f t="shared" si="6"/>
        <v>20</v>
      </c>
      <c r="S36" s="117">
        <f t="shared" si="7"/>
        <v>0</v>
      </c>
      <c r="T36" s="117">
        <f t="shared" si="16"/>
        <v>0</v>
      </c>
      <c r="U36" s="145">
        <f t="shared" si="17"/>
        <v>0</v>
      </c>
      <c r="V36" s="137">
        <f t="shared" si="8"/>
        <v>15</v>
      </c>
      <c r="W36" s="137">
        <f t="shared" si="9"/>
        <v>30</v>
      </c>
      <c r="Z36" s="141">
        <f>IF(capacity&lt;B35+pluie!E28*catch/1000-F36*dinm*1000,-capacity+B35+pluie!E28*catch/1000-F36*dinm*1000,0)</f>
        <v>1183483.3937017885</v>
      </c>
      <c r="AA36" s="141">
        <f t="shared" si="18"/>
        <v>1</v>
      </c>
      <c r="AB36" s="141">
        <f t="shared" si="19"/>
        <v>0</v>
      </c>
      <c r="AC36" s="10"/>
    </row>
    <row r="37" spans="1:29" s="7" customFormat="1" ht="11.25">
      <c r="A37" s="124">
        <v>27</v>
      </c>
      <c r="B37" s="141">
        <f>MIN(capacity,B36+pluie!E29*catch/1000-F37*dinm*1000)</f>
        <v>1000000</v>
      </c>
      <c r="C37" s="145">
        <f t="shared" si="0"/>
        <v>1</v>
      </c>
      <c r="D37" s="140">
        <v>0.5</v>
      </c>
      <c r="E37" s="122">
        <f t="shared" si="10"/>
        <v>7.5</v>
      </c>
      <c r="F37" s="122">
        <f t="shared" si="11"/>
        <v>7.5</v>
      </c>
      <c r="G37" s="117">
        <f t="shared" si="1"/>
        <v>0</v>
      </c>
      <c r="H37" s="117">
        <f t="shared" si="2"/>
        <v>0</v>
      </c>
      <c r="I37" s="122">
        <f t="shared" si="12"/>
        <v>0</v>
      </c>
      <c r="J37" s="138">
        <f t="shared" si="3"/>
        <v>5.625</v>
      </c>
      <c r="K37" s="10"/>
      <c r="L37" s="141">
        <f t="shared" si="4"/>
        <v>100000</v>
      </c>
      <c r="M37" s="117">
        <f t="shared" si="13"/>
        <v>0</v>
      </c>
      <c r="N37" s="117">
        <f t="shared" si="14"/>
        <v>0</v>
      </c>
      <c r="O37" s="141">
        <f t="shared" si="15"/>
        <v>0</v>
      </c>
      <c r="P37" s="142">
        <f t="shared" si="5"/>
        <v>75000</v>
      </c>
      <c r="Q37" s="10"/>
      <c r="R37" s="145">
        <f t="shared" si="6"/>
        <v>20</v>
      </c>
      <c r="S37" s="117">
        <f t="shared" si="7"/>
        <v>0</v>
      </c>
      <c r="T37" s="117">
        <f t="shared" si="16"/>
        <v>0</v>
      </c>
      <c r="U37" s="145">
        <f t="shared" si="17"/>
        <v>0</v>
      </c>
      <c r="V37" s="137">
        <f t="shared" si="8"/>
        <v>15</v>
      </c>
      <c r="W37" s="137">
        <f t="shared" si="9"/>
        <v>30</v>
      </c>
      <c r="Z37" s="141">
        <f>IF(capacity&lt;B36+pluie!E29*catch/1000-F37*dinm*1000,-capacity+B36+pluie!E29*catch/1000-F37*dinm*1000,0)</f>
        <v>122105.28135126736</v>
      </c>
      <c r="AA37" s="141">
        <f t="shared" si="18"/>
        <v>1</v>
      </c>
      <c r="AB37" s="141">
        <f t="shared" si="19"/>
        <v>0</v>
      </c>
      <c r="AC37" s="10"/>
    </row>
    <row r="38" spans="1:29" s="7" customFormat="1" ht="11.25">
      <c r="A38" s="124">
        <v>28</v>
      </c>
      <c r="B38" s="141">
        <f>MIN(capacity,B37+pluie!E30*catch/1000-F38*dinm*1000)</f>
        <v>771875</v>
      </c>
      <c r="C38" s="145">
        <f t="shared" si="0"/>
        <v>0.771875</v>
      </c>
      <c r="D38" s="140">
        <v>0.5</v>
      </c>
      <c r="E38" s="122">
        <f t="shared" si="10"/>
        <v>7.5</v>
      </c>
      <c r="F38" s="122">
        <f t="shared" si="11"/>
        <v>7.5</v>
      </c>
      <c r="G38" s="117">
        <f t="shared" si="1"/>
        <v>0</v>
      </c>
      <c r="H38" s="117">
        <f t="shared" si="2"/>
        <v>0</v>
      </c>
      <c r="I38" s="122">
        <f t="shared" si="12"/>
        <v>0</v>
      </c>
      <c r="J38" s="138">
        <f t="shared" si="3"/>
        <v>5.625</v>
      </c>
      <c r="K38" s="10"/>
      <c r="L38" s="141">
        <f t="shared" si="4"/>
        <v>87856.4169540279</v>
      </c>
      <c r="M38" s="117">
        <f t="shared" si="13"/>
        <v>0</v>
      </c>
      <c r="N38" s="117">
        <f t="shared" si="14"/>
        <v>0</v>
      </c>
      <c r="O38" s="141">
        <f t="shared" si="15"/>
        <v>0</v>
      </c>
      <c r="P38" s="142">
        <f t="shared" si="5"/>
        <v>75000</v>
      </c>
      <c r="Q38" s="10"/>
      <c r="R38" s="145">
        <f t="shared" si="6"/>
        <v>17.57128339080558</v>
      </c>
      <c r="S38" s="117">
        <f t="shared" si="7"/>
        <v>0</v>
      </c>
      <c r="T38" s="117">
        <f t="shared" si="16"/>
        <v>0</v>
      </c>
      <c r="U38" s="145">
        <f t="shared" si="17"/>
        <v>0</v>
      </c>
      <c r="V38" s="137">
        <f t="shared" si="8"/>
        <v>15</v>
      </c>
      <c r="W38" s="137">
        <f t="shared" si="9"/>
        <v>30</v>
      </c>
      <c r="Z38" s="141">
        <f>IF(capacity&lt;B37+pluie!E30*catch/1000-F38*dinm*1000,-capacity+B37+pluie!E30*catch/1000-F38*dinm*1000,0)</f>
        <v>0</v>
      </c>
      <c r="AA38" s="141">
        <f t="shared" si="18"/>
        <v>0</v>
      </c>
      <c r="AB38" s="141">
        <f t="shared" si="19"/>
        <v>1</v>
      </c>
      <c r="AC38" s="10"/>
    </row>
    <row r="39" spans="1:29" s="7" customFormat="1" ht="11.25">
      <c r="A39" s="124">
        <v>29</v>
      </c>
      <c r="B39" s="141">
        <f>MIN(capacity,B38+pluie!E31*catch/1000-F39*dinm*1000)</f>
        <v>543750</v>
      </c>
      <c r="C39" s="145">
        <f t="shared" si="0"/>
        <v>0.54375</v>
      </c>
      <c r="D39" s="140">
        <v>0.5</v>
      </c>
      <c r="E39" s="122">
        <f t="shared" si="10"/>
        <v>7.5</v>
      </c>
      <c r="F39" s="122">
        <f t="shared" si="11"/>
        <v>7.5</v>
      </c>
      <c r="G39" s="117">
        <f t="shared" si="1"/>
        <v>0</v>
      </c>
      <c r="H39" s="117">
        <f t="shared" si="2"/>
        <v>0</v>
      </c>
      <c r="I39" s="122">
        <f t="shared" si="12"/>
        <v>0</v>
      </c>
      <c r="J39" s="138">
        <f t="shared" si="3"/>
        <v>5.625</v>
      </c>
      <c r="K39" s="10"/>
      <c r="L39" s="141">
        <f t="shared" si="4"/>
        <v>73739.40601876314</v>
      </c>
      <c r="M39" s="117">
        <f t="shared" si="13"/>
        <v>1</v>
      </c>
      <c r="N39" s="117">
        <f t="shared" si="14"/>
        <v>0</v>
      </c>
      <c r="O39" s="141">
        <f t="shared" si="15"/>
        <v>1260.5939812368597</v>
      </c>
      <c r="P39" s="142">
        <f t="shared" si="5"/>
        <v>75000</v>
      </c>
      <c r="Q39" s="10"/>
      <c r="R39" s="145">
        <f t="shared" si="6"/>
        <v>14.747881203752625</v>
      </c>
      <c r="S39" s="117">
        <f t="shared" si="7"/>
        <v>1</v>
      </c>
      <c r="T39" s="117">
        <f t="shared" si="16"/>
        <v>0</v>
      </c>
      <c r="U39" s="145">
        <f t="shared" si="17"/>
        <v>0.252118796247375</v>
      </c>
      <c r="V39" s="137">
        <f t="shared" si="8"/>
        <v>15</v>
      </c>
      <c r="W39" s="137">
        <f t="shared" si="9"/>
        <v>30</v>
      </c>
      <c r="Z39" s="141">
        <f>IF(capacity&lt;B38+pluie!E31*catch/1000-F39*dinm*1000,-capacity+B38+pluie!E31*catch/1000-F39*dinm*1000,0)</f>
        <v>0</v>
      </c>
      <c r="AA39" s="141">
        <f t="shared" si="18"/>
        <v>0</v>
      </c>
      <c r="AB39" s="141">
        <f t="shared" si="19"/>
        <v>0</v>
      </c>
      <c r="AC39" s="10"/>
    </row>
    <row r="40" spans="1:29" s="7" customFormat="1" ht="11.25">
      <c r="A40" s="124">
        <v>30</v>
      </c>
      <c r="B40" s="141">
        <f>MIN(capacity,B39+pluie!E32*catch/1000-F40*dinm*1000)</f>
        <v>315625</v>
      </c>
      <c r="C40" s="145">
        <f t="shared" si="0"/>
        <v>0.315625</v>
      </c>
      <c r="D40" s="140">
        <v>0.5</v>
      </c>
      <c r="E40" s="122">
        <f>IF(C39&gt;warning,target,target/2)</f>
        <v>7.5</v>
      </c>
      <c r="F40" s="122">
        <f t="shared" si="11"/>
        <v>7.5</v>
      </c>
      <c r="G40" s="117">
        <f t="shared" si="1"/>
        <v>0</v>
      </c>
      <c r="H40" s="117">
        <f t="shared" si="2"/>
        <v>0</v>
      </c>
      <c r="I40" s="122">
        <f t="shared" si="12"/>
        <v>0</v>
      </c>
      <c r="J40" s="138">
        <f t="shared" si="3"/>
        <v>5.625</v>
      </c>
      <c r="K40" s="10"/>
      <c r="L40" s="141">
        <f t="shared" si="4"/>
        <v>56180.51263561058</v>
      </c>
      <c r="M40" s="117">
        <f t="shared" si="13"/>
        <v>1</v>
      </c>
      <c r="N40" s="117">
        <f t="shared" si="14"/>
        <v>0</v>
      </c>
      <c r="O40" s="141">
        <f t="shared" si="15"/>
        <v>18819.487364389417</v>
      </c>
      <c r="P40" s="142">
        <f t="shared" si="5"/>
        <v>75000</v>
      </c>
      <c r="Q40" s="10"/>
      <c r="R40" s="145">
        <f t="shared" si="6"/>
        <v>11.236102527122116</v>
      </c>
      <c r="S40" s="117">
        <f t="shared" si="7"/>
        <v>1</v>
      </c>
      <c r="T40" s="117">
        <f t="shared" si="16"/>
        <v>0</v>
      </c>
      <c r="U40" s="145">
        <f t="shared" si="17"/>
        <v>3.7638974728778845</v>
      </c>
      <c r="V40" s="137">
        <f t="shared" si="8"/>
        <v>15</v>
      </c>
      <c r="W40" s="137">
        <f t="shared" si="9"/>
        <v>30</v>
      </c>
      <c r="Z40" s="141">
        <f>IF(capacity&lt;B39+pluie!E32*catch/1000-F40*dinm*1000,-capacity+B39+pluie!E32*catch/1000-F40*dinm*1000,0)</f>
        <v>0</v>
      </c>
      <c r="AA40" s="141">
        <f t="shared" si="18"/>
        <v>0</v>
      </c>
      <c r="AB40" s="141">
        <f t="shared" si="19"/>
        <v>0</v>
      </c>
      <c r="AC40" s="10"/>
    </row>
    <row r="41" spans="1:29" s="7" customFormat="1" ht="11.25">
      <c r="A41" s="124">
        <v>31</v>
      </c>
      <c r="B41" s="141">
        <f>MIN(capacity,B40+pluie!E33*catch/1000-F41*dinm*1000)</f>
        <v>201562.5</v>
      </c>
      <c r="C41" s="145">
        <f t="shared" si="0"/>
        <v>0.2015625</v>
      </c>
      <c r="D41" s="140">
        <v>0.5</v>
      </c>
      <c r="E41" s="122">
        <f t="shared" si="10"/>
        <v>3.75</v>
      </c>
      <c r="F41" s="122">
        <f t="shared" si="11"/>
        <v>3.75</v>
      </c>
      <c r="G41" s="117">
        <f t="shared" si="1"/>
        <v>1</v>
      </c>
      <c r="H41" s="117">
        <f t="shared" si="2"/>
        <v>0</v>
      </c>
      <c r="I41" s="122">
        <f t="shared" si="12"/>
        <v>3.75</v>
      </c>
      <c r="J41" s="138">
        <f t="shared" si="3"/>
        <v>5.625</v>
      </c>
      <c r="K41" s="10"/>
      <c r="L41" s="141">
        <f t="shared" si="4"/>
        <v>44895.71249016993</v>
      </c>
      <c r="M41" s="117">
        <f t="shared" si="13"/>
        <v>1</v>
      </c>
      <c r="N41" s="117">
        <f t="shared" si="14"/>
        <v>0</v>
      </c>
      <c r="O41" s="141">
        <f t="shared" si="15"/>
        <v>30104.287509830072</v>
      </c>
      <c r="P41" s="142">
        <f t="shared" si="5"/>
        <v>75000</v>
      </c>
      <c r="Q41" s="10"/>
      <c r="R41" s="145">
        <f t="shared" si="6"/>
        <v>8.979142498033985</v>
      </c>
      <c r="S41" s="117">
        <f t="shared" si="7"/>
        <v>1</v>
      </c>
      <c r="T41" s="117">
        <f t="shared" si="16"/>
        <v>0</v>
      </c>
      <c r="U41" s="145">
        <f t="shared" si="17"/>
        <v>6.020857501966015</v>
      </c>
      <c r="V41" s="137">
        <f t="shared" si="8"/>
        <v>15</v>
      </c>
      <c r="W41" s="137">
        <f t="shared" si="9"/>
        <v>30</v>
      </c>
      <c r="Z41" s="141">
        <f>IF(capacity&lt;B40+pluie!E33*catch/1000-F41*dinm*1000,-capacity+B40+pluie!E33*catch/1000-F41*dinm*1000,0)</f>
        <v>0</v>
      </c>
      <c r="AA41" s="141">
        <f t="shared" si="18"/>
        <v>0</v>
      </c>
      <c r="AB41" s="141">
        <f t="shared" si="19"/>
        <v>0</v>
      </c>
      <c r="AC41" s="10"/>
    </row>
    <row r="42" spans="1:29" s="7" customFormat="1" ht="11.25">
      <c r="A42" s="124">
        <v>32</v>
      </c>
      <c r="B42" s="141">
        <f>MIN(capacity,B41+pluie!E34*catch/1000-F42*dinm*1000)</f>
        <v>463516.3637838559</v>
      </c>
      <c r="C42" s="145">
        <f t="shared" si="0"/>
        <v>0.4635163637838559</v>
      </c>
      <c r="D42" s="140">
        <v>0.5</v>
      </c>
      <c r="E42" s="122">
        <f t="shared" si="10"/>
        <v>3.75</v>
      </c>
      <c r="F42" s="122">
        <f t="shared" si="11"/>
        <v>3.75</v>
      </c>
      <c r="G42" s="117">
        <f t="shared" si="1"/>
        <v>1</v>
      </c>
      <c r="H42" s="117">
        <f t="shared" si="2"/>
        <v>0</v>
      </c>
      <c r="I42" s="122">
        <f t="shared" si="12"/>
        <v>3.75</v>
      </c>
      <c r="J42" s="138">
        <f t="shared" si="3"/>
        <v>5.625</v>
      </c>
      <c r="K42" s="10"/>
      <c r="L42" s="141">
        <f t="shared" si="4"/>
        <v>68082.03608763886</v>
      </c>
      <c r="M42" s="117">
        <f t="shared" si="13"/>
        <v>1</v>
      </c>
      <c r="N42" s="117">
        <f t="shared" si="14"/>
        <v>0</v>
      </c>
      <c r="O42" s="141">
        <f t="shared" si="15"/>
        <v>6917.963912361141</v>
      </c>
      <c r="P42" s="142">
        <f t="shared" si="5"/>
        <v>75000</v>
      </c>
      <c r="Q42" s="10"/>
      <c r="R42" s="145">
        <f t="shared" si="6"/>
        <v>13.61640721752777</v>
      </c>
      <c r="S42" s="117">
        <f t="shared" si="7"/>
        <v>1</v>
      </c>
      <c r="T42" s="117">
        <f t="shared" si="16"/>
        <v>0</v>
      </c>
      <c r="U42" s="145">
        <f t="shared" si="17"/>
        <v>1.3835927824722294</v>
      </c>
      <c r="V42" s="137">
        <f t="shared" si="8"/>
        <v>15</v>
      </c>
      <c r="W42" s="137">
        <f t="shared" si="9"/>
        <v>30</v>
      </c>
      <c r="Z42" s="141">
        <f>IF(capacity&lt;B41+pluie!E34*catch/1000-F42*dinm*1000,-capacity+B41+pluie!E34*catch/1000-F42*dinm*1000,0)</f>
        <v>0</v>
      </c>
      <c r="AA42" s="141">
        <f t="shared" si="18"/>
        <v>0</v>
      </c>
      <c r="AB42" s="141">
        <f t="shared" si="19"/>
        <v>0</v>
      </c>
      <c r="AC42" s="10"/>
    </row>
    <row r="43" spans="1:29" s="7" customFormat="1" ht="11.25">
      <c r="A43" s="124">
        <v>33</v>
      </c>
      <c r="B43" s="141">
        <f>MIN(capacity,B42+pluie!E35*catch/1000-F43*dinm*1000)</f>
        <v>471710.8787028688</v>
      </c>
      <c r="C43" s="145">
        <f t="shared" si="0"/>
        <v>0.4717108787028688</v>
      </c>
      <c r="D43" s="140">
        <v>0.5</v>
      </c>
      <c r="E43" s="122">
        <f t="shared" si="10"/>
        <v>3.75</v>
      </c>
      <c r="F43" s="122">
        <f t="shared" si="11"/>
        <v>3.75</v>
      </c>
      <c r="G43" s="117">
        <f t="shared" si="1"/>
        <v>1</v>
      </c>
      <c r="H43" s="117">
        <f t="shared" si="2"/>
        <v>0</v>
      </c>
      <c r="I43" s="122">
        <f t="shared" si="12"/>
        <v>3.75</v>
      </c>
      <c r="J43" s="138">
        <f t="shared" si="3"/>
        <v>5.625</v>
      </c>
      <c r="K43" s="10"/>
      <c r="L43" s="141">
        <f t="shared" si="4"/>
        <v>68681.21131014427</v>
      </c>
      <c r="M43" s="117">
        <f t="shared" si="13"/>
        <v>1</v>
      </c>
      <c r="N43" s="117">
        <f t="shared" si="14"/>
        <v>0</v>
      </c>
      <c r="O43" s="141">
        <f t="shared" si="15"/>
        <v>6318.7886898557335</v>
      </c>
      <c r="P43" s="142">
        <f t="shared" si="5"/>
        <v>75000</v>
      </c>
      <c r="Q43" s="10"/>
      <c r="R43" s="145">
        <f t="shared" si="6"/>
        <v>13.736242262028853</v>
      </c>
      <c r="S43" s="117">
        <f t="shared" si="7"/>
        <v>1</v>
      </c>
      <c r="T43" s="117">
        <f t="shared" si="16"/>
        <v>0</v>
      </c>
      <c r="U43" s="145">
        <f t="shared" si="17"/>
        <v>1.2637577379711473</v>
      </c>
      <c r="V43" s="137">
        <f t="shared" si="8"/>
        <v>15</v>
      </c>
      <c r="W43" s="137">
        <f t="shared" si="9"/>
        <v>30</v>
      </c>
      <c r="Z43" s="141">
        <f>IF(capacity&lt;B42+pluie!E35*catch/1000-F43*dinm*1000,-capacity+B42+pluie!E35*catch/1000-F43*dinm*1000,0)</f>
        <v>0</v>
      </c>
      <c r="AA43" s="141">
        <f t="shared" si="18"/>
        <v>0</v>
      </c>
      <c r="AB43" s="141">
        <f t="shared" si="19"/>
        <v>0</v>
      </c>
      <c r="AC43" s="10"/>
    </row>
    <row r="44" spans="1:29" s="7" customFormat="1" ht="11.25">
      <c r="A44" s="124">
        <v>34</v>
      </c>
      <c r="B44" s="141">
        <f>MIN(capacity,B43+pluie!E36*catch/1000-F44*dinm*1000)</f>
        <v>1000000</v>
      </c>
      <c r="C44" s="145">
        <f t="shared" si="0"/>
        <v>1</v>
      </c>
      <c r="D44" s="140">
        <v>0.5</v>
      </c>
      <c r="E44" s="122">
        <f t="shared" si="10"/>
        <v>3.75</v>
      </c>
      <c r="F44" s="122">
        <f t="shared" si="11"/>
        <v>3.75</v>
      </c>
      <c r="G44" s="117">
        <f t="shared" si="1"/>
        <v>1</v>
      </c>
      <c r="H44" s="117">
        <f t="shared" si="2"/>
        <v>0</v>
      </c>
      <c r="I44" s="122">
        <f t="shared" si="12"/>
        <v>3.75</v>
      </c>
      <c r="J44" s="138">
        <f t="shared" si="3"/>
        <v>5.625</v>
      </c>
      <c r="K44" s="10"/>
      <c r="L44" s="141">
        <f t="shared" si="4"/>
        <v>100000</v>
      </c>
      <c r="M44" s="117">
        <f t="shared" si="13"/>
        <v>0</v>
      </c>
      <c r="N44" s="117">
        <f t="shared" si="14"/>
        <v>1</v>
      </c>
      <c r="O44" s="141">
        <f t="shared" si="15"/>
        <v>0</v>
      </c>
      <c r="P44" s="142">
        <f t="shared" si="5"/>
        <v>75000</v>
      </c>
      <c r="Q44" s="10"/>
      <c r="R44" s="145">
        <f t="shared" si="6"/>
        <v>20</v>
      </c>
      <c r="S44" s="117">
        <f t="shared" si="7"/>
        <v>0</v>
      </c>
      <c r="T44" s="117">
        <f t="shared" si="16"/>
        <v>1</v>
      </c>
      <c r="U44" s="145">
        <f t="shared" si="17"/>
        <v>0</v>
      </c>
      <c r="V44" s="137">
        <f t="shared" si="8"/>
        <v>15</v>
      </c>
      <c r="W44" s="137">
        <f t="shared" si="9"/>
        <v>30</v>
      </c>
      <c r="Z44" s="141">
        <f>IF(capacity&lt;B43+pluie!E36*catch/1000-F44*dinm*1000,-capacity+B43+pluie!E36*catch/1000-F44*dinm*1000,0)</f>
        <v>417365.7375974342</v>
      </c>
      <c r="AA44" s="141">
        <f t="shared" si="18"/>
        <v>1</v>
      </c>
      <c r="AB44" s="141">
        <f t="shared" si="19"/>
        <v>0</v>
      </c>
      <c r="AC44" s="10"/>
    </row>
    <row r="45" spans="1:29" s="7" customFormat="1" ht="11.25">
      <c r="A45" s="124">
        <v>35</v>
      </c>
      <c r="B45" s="141">
        <f>MIN(capacity,B44+pluie!E37*catch/1000-F45*dinm*1000)</f>
        <v>1000000</v>
      </c>
      <c r="C45" s="145">
        <f t="shared" si="0"/>
        <v>1</v>
      </c>
      <c r="D45" s="140">
        <v>0.5</v>
      </c>
      <c r="E45" s="122">
        <f t="shared" si="10"/>
        <v>7.5</v>
      </c>
      <c r="F45" s="122">
        <f t="shared" si="11"/>
        <v>7.5</v>
      </c>
      <c r="G45" s="117">
        <f t="shared" si="1"/>
        <v>0</v>
      </c>
      <c r="H45" s="117">
        <f t="shared" si="2"/>
        <v>1</v>
      </c>
      <c r="I45" s="122">
        <f t="shared" si="12"/>
        <v>0</v>
      </c>
      <c r="J45" s="138">
        <f t="shared" si="3"/>
        <v>5.625</v>
      </c>
      <c r="K45" s="10"/>
      <c r="L45" s="141">
        <f t="shared" si="4"/>
        <v>100000</v>
      </c>
      <c r="M45" s="117">
        <f t="shared" si="13"/>
        <v>0</v>
      </c>
      <c r="N45" s="117">
        <f t="shared" si="14"/>
        <v>0</v>
      </c>
      <c r="O45" s="141">
        <f t="shared" si="15"/>
        <v>0</v>
      </c>
      <c r="P45" s="142">
        <f t="shared" si="5"/>
        <v>75000</v>
      </c>
      <c r="Q45" s="10"/>
      <c r="R45" s="145">
        <f t="shared" si="6"/>
        <v>20</v>
      </c>
      <c r="S45" s="117">
        <f t="shared" si="7"/>
        <v>0</v>
      </c>
      <c r="T45" s="117">
        <f t="shared" si="16"/>
        <v>0</v>
      </c>
      <c r="U45" s="145">
        <f t="shared" si="17"/>
        <v>0</v>
      </c>
      <c r="V45" s="137">
        <f t="shared" si="8"/>
        <v>15</v>
      </c>
      <c r="W45" s="137">
        <f t="shared" si="9"/>
        <v>30</v>
      </c>
      <c r="Z45" s="141">
        <f>IF(capacity&lt;B44+pluie!E37*catch/1000-F45*dinm*1000,-capacity+B44+pluie!E37*catch/1000-F45*dinm*1000,0)</f>
        <v>401107.5535561589</v>
      </c>
      <c r="AA45" s="141">
        <f t="shared" si="18"/>
        <v>1</v>
      </c>
      <c r="AB45" s="141">
        <f t="shared" si="19"/>
        <v>0</v>
      </c>
      <c r="AC45" s="10"/>
    </row>
    <row r="46" spans="1:29" s="7" customFormat="1" ht="11.25">
      <c r="A46" s="124">
        <v>36</v>
      </c>
      <c r="B46" s="141">
        <f>MIN(capacity,B45+pluie!E38*catch/1000-F46*dinm*1000)</f>
        <v>1000000</v>
      </c>
      <c r="C46" s="145">
        <f t="shared" si="0"/>
        <v>1</v>
      </c>
      <c r="D46" s="140">
        <v>0.5</v>
      </c>
      <c r="E46" s="122">
        <f t="shared" si="10"/>
        <v>7.5</v>
      </c>
      <c r="F46" s="122">
        <f t="shared" si="11"/>
        <v>7.5</v>
      </c>
      <c r="G46" s="117">
        <f t="shared" si="1"/>
        <v>0</v>
      </c>
      <c r="H46" s="117">
        <f t="shared" si="2"/>
        <v>0</v>
      </c>
      <c r="I46" s="122">
        <f t="shared" si="12"/>
        <v>0</v>
      </c>
      <c r="J46" s="138">
        <f t="shared" si="3"/>
        <v>5.625</v>
      </c>
      <c r="K46" s="10"/>
      <c r="L46" s="141">
        <f t="shared" si="4"/>
        <v>100000</v>
      </c>
      <c r="M46" s="117">
        <f t="shared" si="13"/>
        <v>0</v>
      </c>
      <c r="N46" s="117">
        <f t="shared" si="14"/>
        <v>0</v>
      </c>
      <c r="O46" s="141">
        <f t="shared" si="15"/>
        <v>0</v>
      </c>
      <c r="P46" s="142">
        <f t="shared" si="5"/>
        <v>75000</v>
      </c>
      <c r="Q46" s="10"/>
      <c r="R46" s="145">
        <f t="shared" si="6"/>
        <v>20</v>
      </c>
      <c r="S46" s="117">
        <f t="shared" si="7"/>
        <v>0</v>
      </c>
      <c r="T46" s="117">
        <f t="shared" si="16"/>
        <v>0</v>
      </c>
      <c r="U46" s="145">
        <f t="shared" si="17"/>
        <v>0</v>
      </c>
      <c r="V46" s="137">
        <f t="shared" si="8"/>
        <v>15</v>
      </c>
      <c r="W46" s="137">
        <f t="shared" si="9"/>
        <v>30</v>
      </c>
      <c r="Z46" s="141">
        <f>IF(capacity&lt;B45+pluie!E38*catch/1000-F46*dinm*1000,-capacity+B45+pluie!E38*catch/1000-F46*dinm*1000,0)</f>
        <v>2147654.8017661017</v>
      </c>
      <c r="AA46" s="141">
        <f t="shared" si="18"/>
        <v>1</v>
      </c>
      <c r="AB46" s="141">
        <f t="shared" si="19"/>
        <v>0</v>
      </c>
      <c r="AC46" s="10"/>
    </row>
    <row r="47" spans="1:29" s="7" customFormat="1" ht="11.25">
      <c r="A47" s="124">
        <v>37</v>
      </c>
      <c r="B47" s="141">
        <f>MIN(capacity,B46+pluie!E39*catch/1000-F47*dinm*1000)</f>
        <v>1000000</v>
      </c>
      <c r="C47" s="145">
        <f t="shared" si="0"/>
        <v>1</v>
      </c>
      <c r="D47" s="140">
        <v>0.5</v>
      </c>
      <c r="E47" s="122">
        <f t="shared" si="10"/>
        <v>7.5</v>
      </c>
      <c r="F47" s="122">
        <f t="shared" si="11"/>
        <v>7.5</v>
      </c>
      <c r="G47" s="117">
        <f t="shared" si="1"/>
        <v>0</v>
      </c>
      <c r="H47" s="117">
        <f t="shared" si="2"/>
        <v>0</v>
      </c>
      <c r="I47" s="122">
        <f t="shared" si="12"/>
        <v>0</v>
      </c>
      <c r="J47" s="138">
        <f t="shared" si="3"/>
        <v>5.625</v>
      </c>
      <c r="K47" s="10"/>
      <c r="L47" s="141">
        <f t="shared" si="4"/>
        <v>100000</v>
      </c>
      <c r="M47" s="117">
        <f t="shared" si="13"/>
        <v>0</v>
      </c>
      <c r="N47" s="117">
        <f t="shared" si="14"/>
        <v>0</v>
      </c>
      <c r="O47" s="141">
        <f t="shared" si="15"/>
        <v>0</v>
      </c>
      <c r="P47" s="142">
        <f t="shared" si="5"/>
        <v>75000</v>
      </c>
      <c r="Q47" s="10"/>
      <c r="R47" s="145">
        <f t="shared" si="6"/>
        <v>20</v>
      </c>
      <c r="S47" s="117">
        <f t="shared" si="7"/>
        <v>0</v>
      </c>
      <c r="T47" s="117">
        <f t="shared" si="16"/>
        <v>0</v>
      </c>
      <c r="U47" s="145">
        <f t="shared" si="17"/>
        <v>0</v>
      </c>
      <c r="V47" s="137">
        <f t="shared" si="8"/>
        <v>15</v>
      </c>
      <c r="W47" s="137">
        <f t="shared" si="9"/>
        <v>30</v>
      </c>
      <c r="Z47" s="141">
        <f>IF(capacity&lt;B46+pluie!E39*catch/1000-F47*dinm*1000,-capacity+B46+pluie!E39*catch/1000-F47*dinm*1000,0)</f>
        <v>605792.9532780794</v>
      </c>
      <c r="AA47" s="141">
        <f t="shared" si="18"/>
        <v>1</v>
      </c>
      <c r="AB47" s="141">
        <f t="shared" si="19"/>
        <v>0</v>
      </c>
      <c r="AC47" s="10"/>
    </row>
    <row r="48" spans="1:29" s="7" customFormat="1" ht="11.25">
      <c r="A48" s="124">
        <v>38</v>
      </c>
      <c r="B48" s="141">
        <f>MIN(capacity,B47+pluie!E40*catch/1000-F48*dinm*1000)</f>
        <v>1000000</v>
      </c>
      <c r="C48" s="145">
        <f t="shared" si="0"/>
        <v>1</v>
      </c>
      <c r="D48" s="140">
        <v>0.5</v>
      </c>
      <c r="E48" s="122">
        <f t="shared" si="10"/>
        <v>7.5</v>
      </c>
      <c r="F48" s="122">
        <f t="shared" si="11"/>
        <v>7.5</v>
      </c>
      <c r="G48" s="117">
        <f t="shared" si="1"/>
        <v>0</v>
      </c>
      <c r="H48" s="117">
        <f t="shared" si="2"/>
        <v>0</v>
      </c>
      <c r="I48" s="122">
        <f t="shared" si="12"/>
        <v>0</v>
      </c>
      <c r="J48" s="138">
        <f t="shared" si="3"/>
        <v>5.625</v>
      </c>
      <c r="K48" s="10"/>
      <c r="L48" s="141">
        <f t="shared" si="4"/>
        <v>100000</v>
      </c>
      <c r="M48" s="117">
        <f t="shared" si="13"/>
        <v>0</v>
      </c>
      <c r="N48" s="117">
        <f t="shared" si="14"/>
        <v>0</v>
      </c>
      <c r="O48" s="141">
        <f t="shared" si="15"/>
        <v>0</v>
      </c>
      <c r="P48" s="142">
        <f t="shared" si="5"/>
        <v>75000</v>
      </c>
      <c r="Q48" s="10"/>
      <c r="R48" s="145">
        <f t="shared" si="6"/>
        <v>20</v>
      </c>
      <c r="S48" s="117">
        <f t="shared" si="7"/>
        <v>0</v>
      </c>
      <c r="T48" s="117">
        <f t="shared" si="16"/>
        <v>0</v>
      </c>
      <c r="U48" s="145">
        <f t="shared" si="17"/>
        <v>0</v>
      </c>
      <c r="V48" s="137">
        <f t="shared" si="8"/>
        <v>15</v>
      </c>
      <c r="W48" s="137">
        <f t="shared" si="9"/>
        <v>30</v>
      </c>
      <c r="Z48" s="141">
        <f>IF(capacity&lt;B47+pluie!E40*catch/1000-F48*dinm*1000,-capacity+B47+pluie!E40*catch/1000-F48*dinm*1000,0)</f>
        <v>721483.3937017887</v>
      </c>
      <c r="AA48" s="141">
        <f t="shared" si="18"/>
        <v>1</v>
      </c>
      <c r="AB48" s="141">
        <f t="shared" si="19"/>
        <v>0</v>
      </c>
      <c r="AC48" s="10"/>
    </row>
    <row r="49" spans="1:29" s="7" customFormat="1" ht="11.25">
      <c r="A49" s="124">
        <v>39</v>
      </c>
      <c r="B49" s="141">
        <f>MIN(capacity,B48+pluie!E41*catch/1000-F49*dinm*1000)</f>
        <v>1000000</v>
      </c>
      <c r="C49" s="145">
        <f t="shared" si="0"/>
        <v>1</v>
      </c>
      <c r="D49" s="140">
        <v>0.5</v>
      </c>
      <c r="E49" s="122">
        <f t="shared" si="10"/>
        <v>7.5</v>
      </c>
      <c r="F49" s="122">
        <f t="shared" si="11"/>
        <v>7.5</v>
      </c>
      <c r="G49" s="117">
        <f t="shared" si="1"/>
        <v>0</v>
      </c>
      <c r="H49" s="117">
        <f t="shared" si="2"/>
        <v>0</v>
      </c>
      <c r="I49" s="122">
        <f t="shared" si="12"/>
        <v>0</v>
      </c>
      <c r="J49" s="138">
        <f t="shared" si="3"/>
        <v>5.625</v>
      </c>
      <c r="K49" s="10"/>
      <c r="L49" s="141">
        <f t="shared" si="4"/>
        <v>100000</v>
      </c>
      <c r="M49" s="117">
        <f t="shared" si="13"/>
        <v>0</v>
      </c>
      <c r="N49" s="117">
        <f t="shared" si="14"/>
        <v>0</v>
      </c>
      <c r="O49" s="141">
        <f t="shared" si="15"/>
        <v>0</v>
      </c>
      <c r="P49" s="142">
        <f t="shared" si="5"/>
        <v>75000</v>
      </c>
      <c r="Q49" s="10"/>
      <c r="R49" s="145">
        <f t="shared" si="6"/>
        <v>20</v>
      </c>
      <c r="S49" s="117">
        <f t="shared" si="7"/>
        <v>0</v>
      </c>
      <c r="T49" s="117">
        <f t="shared" si="16"/>
        <v>0</v>
      </c>
      <c r="U49" s="145">
        <f t="shared" si="17"/>
        <v>0</v>
      </c>
      <c r="V49" s="137">
        <f t="shared" si="8"/>
        <v>15</v>
      </c>
      <c r="W49" s="137">
        <f t="shared" si="9"/>
        <v>30</v>
      </c>
      <c r="Z49" s="141">
        <f>IF(capacity&lt;B48+pluie!E41*catch/1000-F49*dinm*1000,-capacity+B48+pluie!E41*catch/1000-F49*dinm*1000,0)</f>
        <v>188105.28135126736</v>
      </c>
      <c r="AA49" s="141">
        <f t="shared" si="18"/>
        <v>1</v>
      </c>
      <c r="AB49" s="141">
        <f t="shared" si="19"/>
        <v>0</v>
      </c>
      <c r="AC49" s="10"/>
    </row>
    <row r="50" spans="1:29" s="7" customFormat="1" ht="11.25">
      <c r="A50" s="124">
        <v>40</v>
      </c>
      <c r="B50" s="141">
        <f>MIN(capacity,B49+pluie!E42*catch/1000-F50*dinm*1000)</f>
        <v>851644.7186487326</v>
      </c>
      <c r="C50" s="145">
        <f t="shared" si="0"/>
        <v>0.8516447186487326</v>
      </c>
      <c r="D50" s="140">
        <v>0.5</v>
      </c>
      <c r="E50" s="122">
        <f t="shared" si="10"/>
        <v>7.5</v>
      </c>
      <c r="F50" s="122">
        <f t="shared" si="11"/>
        <v>7.5</v>
      </c>
      <c r="G50" s="117">
        <f t="shared" si="1"/>
        <v>0</v>
      </c>
      <c r="H50" s="117">
        <f t="shared" si="2"/>
        <v>0</v>
      </c>
      <c r="I50" s="122">
        <f t="shared" si="12"/>
        <v>0</v>
      </c>
      <c r="J50" s="138">
        <f t="shared" si="3"/>
        <v>5.625</v>
      </c>
      <c r="K50" s="10"/>
      <c r="L50" s="141">
        <f t="shared" si="4"/>
        <v>92284.5988585708</v>
      </c>
      <c r="M50" s="117">
        <f t="shared" si="13"/>
        <v>0</v>
      </c>
      <c r="N50" s="117">
        <f t="shared" si="14"/>
        <v>0</v>
      </c>
      <c r="O50" s="141">
        <f t="shared" si="15"/>
        <v>0</v>
      </c>
      <c r="P50" s="142">
        <f t="shared" si="5"/>
        <v>75000</v>
      </c>
      <c r="Q50" s="10"/>
      <c r="R50" s="145">
        <f t="shared" si="6"/>
        <v>18.45691977171416</v>
      </c>
      <c r="S50" s="117">
        <f t="shared" si="7"/>
        <v>0</v>
      </c>
      <c r="T50" s="117">
        <f t="shared" si="16"/>
        <v>0</v>
      </c>
      <c r="U50" s="145">
        <f t="shared" si="17"/>
        <v>0</v>
      </c>
      <c r="V50" s="137">
        <f t="shared" si="8"/>
        <v>15</v>
      </c>
      <c r="W50" s="137">
        <f t="shared" si="9"/>
        <v>30</v>
      </c>
      <c r="Z50" s="141">
        <f>IF(capacity&lt;B49+pluie!E42*catch/1000-F50*dinm*1000,-capacity+B49+pluie!E42*catch/1000-F50*dinm*1000,0)</f>
        <v>0</v>
      </c>
      <c r="AA50" s="141">
        <f t="shared" si="18"/>
        <v>0</v>
      </c>
      <c r="AB50" s="141">
        <f t="shared" si="19"/>
        <v>1</v>
      </c>
      <c r="AC50" s="10"/>
    </row>
    <row r="51" spans="1:29" s="7" customFormat="1" ht="11.25">
      <c r="A51" s="124">
        <v>41</v>
      </c>
      <c r="B51" s="141">
        <f>MIN(capacity,B50+pluie!E43*catch/1000-F51*dinm*1000)</f>
        <v>623519.7186487326</v>
      </c>
      <c r="C51" s="145">
        <f t="shared" si="0"/>
        <v>0.6235197186487327</v>
      </c>
      <c r="D51" s="140">
        <v>0.5</v>
      </c>
      <c r="E51" s="122">
        <f t="shared" si="10"/>
        <v>7.5</v>
      </c>
      <c r="F51" s="122">
        <f t="shared" si="11"/>
        <v>7.5</v>
      </c>
      <c r="G51" s="117">
        <f t="shared" si="1"/>
        <v>0</v>
      </c>
      <c r="H51" s="117">
        <f t="shared" si="2"/>
        <v>0</v>
      </c>
      <c r="I51" s="122">
        <f t="shared" si="12"/>
        <v>0</v>
      </c>
      <c r="J51" s="138">
        <f t="shared" si="3"/>
        <v>5.625</v>
      </c>
      <c r="K51" s="10"/>
      <c r="L51" s="141">
        <f t="shared" si="4"/>
        <v>78963.26479121367</v>
      </c>
      <c r="M51" s="117">
        <f t="shared" si="13"/>
        <v>0</v>
      </c>
      <c r="N51" s="117">
        <f t="shared" si="14"/>
        <v>0</v>
      </c>
      <c r="O51" s="141">
        <f t="shared" si="15"/>
        <v>0</v>
      </c>
      <c r="P51" s="142">
        <f t="shared" si="5"/>
        <v>75000</v>
      </c>
      <c r="Q51" s="10"/>
      <c r="R51" s="145">
        <f t="shared" si="6"/>
        <v>15.792652958242737</v>
      </c>
      <c r="S51" s="117">
        <f t="shared" si="7"/>
        <v>0</v>
      </c>
      <c r="T51" s="117">
        <f t="shared" si="16"/>
        <v>0</v>
      </c>
      <c r="U51" s="145">
        <f t="shared" si="17"/>
        <v>0</v>
      </c>
      <c r="V51" s="137">
        <f t="shared" si="8"/>
        <v>15</v>
      </c>
      <c r="W51" s="137">
        <f t="shared" si="9"/>
        <v>30</v>
      </c>
      <c r="Z51" s="141">
        <f>IF(capacity&lt;B50+pluie!E43*catch/1000-F51*dinm*1000,-capacity+B50+pluie!E43*catch/1000-F51*dinm*1000,0)</f>
        <v>0</v>
      </c>
      <c r="AA51" s="141">
        <f t="shared" si="18"/>
        <v>0</v>
      </c>
      <c r="AB51" s="141">
        <f t="shared" si="19"/>
        <v>0</v>
      </c>
      <c r="AC51" s="10"/>
    </row>
    <row r="52" spans="1:29" s="7" customFormat="1" ht="11.25">
      <c r="A52" s="124">
        <v>42</v>
      </c>
      <c r="B52" s="141">
        <f>MIN(capacity,B51+pluie!E44*catch/1000-F52*dinm*1000)</f>
        <v>980476.7653706532</v>
      </c>
      <c r="C52" s="145">
        <f t="shared" si="0"/>
        <v>0.9804767653706532</v>
      </c>
      <c r="D52" s="140">
        <v>0.5</v>
      </c>
      <c r="E52" s="122">
        <f t="shared" si="10"/>
        <v>7.5</v>
      </c>
      <c r="F52" s="122">
        <f t="shared" si="11"/>
        <v>7.5</v>
      </c>
      <c r="G52" s="117">
        <f t="shared" si="1"/>
        <v>0</v>
      </c>
      <c r="H52" s="117">
        <f t="shared" si="2"/>
        <v>0</v>
      </c>
      <c r="I52" s="122">
        <f t="shared" si="12"/>
        <v>0</v>
      </c>
      <c r="J52" s="138">
        <f t="shared" si="3"/>
        <v>5.625</v>
      </c>
      <c r="K52" s="10"/>
      <c r="L52" s="141">
        <f t="shared" si="4"/>
        <v>99019.02672570829</v>
      </c>
      <c r="M52" s="117">
        <f t="shared" si="13"/>
        <v>0</v>
      </c>
      <c r="N52" s="117">
        <f t="shared" si="14"/>
        <v>0</v>
      </c>
      <c r="O52" s="141">
        <f t="shared" si="15"/>
        <v>0</v>
      </c>
      <c r="P52" s="142">
        <f t="shared" si="5"/>
        <v>75000</v>
      </c>
      <c r="Q52" s="10"/>
      <c r="R52" s="145">
        <f t="shared" si="6"/>
        <v>19.803805345141658</v>
      </c>
      <c r="S52" s="117">
        <f t="shared" si="7"/>
        <v>0</v>
      </c>
      <c r="T52" s="117">
        <f t="shared" si="16"/>
        <v>0</v>
      </c>
      <c r="U52" s="145">
        <f t="shared" si="17"/>
        <v>0</v>
      </c>
      <c r="V52" s="137">
        <f t="shared" si="8"/>
        <v>15</v>
      </c>
      <c r="W52" s="137">
        <f t="shared" si="9"/>
        <v>30</v>
      </c>
      <c r="Z52" s="141">
        <f>IF(capacity&lt;B51+pluie!E44*catch/1000-F52*dinm*1000,-capacity+B51+pluie!E44*catch/1000-F52*dinm*1000,0)</f>
        <v>0</v>
      </c>
      <c r="AA52" s="141">
        <f t="shared" si="18"/>
        <v>0</v>
      </c>
      <c r="AB52" s="141">
        <f t="shared" si="19"/>
        <v>0</v>
      </c>
      <c r="AC52" s="10"/>
    </row>
    <row r="53" spans="1:29" s="7" customFormat="1" ht="11.25">
      <c r="A53" s="124">
        <v>43</v>
      </c>
      <c r="B53" s="141">
        <f>MIN(capacity,B52+pluie!E45*catch/1000-F53*dinm*1000)</f>
        <v>752351.7653706532</v>
      </c>
      <c r="C53" s="145">
        <f t="shared" si="0"/>
        <v>0.7523517653706533</v>
      </c>
      <c r="D53" s="140">
        <v>0.5</v>
      </c>
      <c r="E53" s="122">
        <f t="shared" si="10"/>
        <v>7.5</v>
      </c>
      <c r="F53" s="122">
        <f t="shared" si="11"/>
        <v>7.5</v>
      </c>
      <c r="G53" s="117">
        <f t="shared" si="1"/>
        <v>0</v>
      </c>
      <c r="H53" s="117">
        <f t="shared" si="2"/>
        <v>0</v>
      </c>
      <c r="I53" s="122">
        <f t="shared" si="12"/>
        <v>0</v>
      </c>
      <c r="J53" s="138">
        <f t="shared" si="3"/>
        <v>5.625</v>
      </c>
      <c r="K53" s="10"/>
      <c r="L53" s="141">
        <f t="shared" si="4"/>
        <v>86738.2133416785</v>
      </c>
      <c r="M53" s="117">
        <f t="shared" si="13"/>
        <v>0</v>
      </c>
      <c r="N53" s="117">
        <f t="shared" si="14"/>
        <v>0</v>
      </c>
      <c r="O53" s="141">
        <f t="shared" si="15"/>
        <v>0</v>
      </c>
      <c r="P53" s="142">
        <f t="shared" si="5"/>
        <v>75000</v>
      </c>
      <c r="Q53" s="10"/>
      <c r="R53" s="145">
        <f t="shared" si="6"/>
        <v>17.3476426683357</v>
      </c>
      <c r="S53" s="117">
        <f t="shared" si="7"/>
        <v>0</v>
      </c>
      <c r="T53" s="117">
        <f t="shared" si="16"/>
        <v>0</v>
      </c>
      <c r="U53" s="145">
        <f t="shared" si="17"/>
        <v>0</v>
      </c>
      <c r="V53" s="137">
        <f t="shared" si="8"/>
        <v>15</v>
      </c>
      <c r="W53" s="137">
        <f t="shared" si="9"/>
        <v>30</v>
      </c>
      <c r="Z53" s="141">
        <f>IF(capacity&lt;B52+pluie!E45*catch/1000-F53*dinm*1000,-capacity+B52+pluie!E45*catch/1000-F53*dinm*1000,0)</f>
        <v>0</v>
      </c>
      <c r="AA53" s="141">
        <f t="shared" si="18"/>
        <v>0</v>
      </c>
      <c r="AB53" s="141">
        <f t="shared" si="19"/>
        <v>0</v>
      </c>
      <c r="AC53" s="10"/>
    </row>
    <row r="54" spans="1:29" s="7" customFormat="1" ht="11.25">
      <c r="A54" s="124">
        <v>44</v>
      </c>
      <c r="B54" s="141">
        <f>MIN(capacity,B53+pluie!E46*catch/1000-F54*dinm*1000)</f>
        <v>524226.76537065324</v>
      </c>
      <c r="C54" s="145">
        <f t="shared" si="0"/>
        <v>0.5242267653706533</v>
      </c>
      <c r="D54" s="140">
        <v>0.5</v>
      </c>
      <c r="E54" s="122">
        <f t="shared" si="10"/>
        <v>7.5</v>
      </c>
      <c r="F54" s="122">
        <f t="shared" si="11"/>
        <v>7.5</v>
      </c>
      <c r="G54" s="117">
        <f t="shared" si="1"/>
        <v>0</v>
      </c>
      <c r="H54" s="117">
        <f t="shared" si="2"/>
        <v>0</v>
      </c>
      <c r="I54" s="122">
        <f t="shared" si="12"/>
        <v>0</v>
      </c>
      <c r="J54" s="138">
        <f t="shared" si="3"/>
        <v>5.625</v>
      </c>
      <c r="K54" s="10"/>
      <c r="L54" s="141">
        <f t="shared" si="4"/>
        <v>72403.50581088275</v>
      </c>
      <c r="M54" s="117">
        <f t="shared" si="13"/>
        <v>1</v>
      </c>
      <c r="N54" s="117">
        <f t="shared" si="14"/>
        <v>0</v>
      </c>
      <c r="O54" s="141">
        <f t="shared" si="15"/>
        <v>2596.4941891172493</v>
      </c>
      <c r="P54" s="142">
        <f t="shared" si="5"/>
        <v>75000</v>
      </c>
      <c r="Q54" s="10"/>
      <c r="R54" s="145">
        <f t="shared" si="6"/>
        <v>14.48070116217655</v>
      </c>
      <c r="S54" s="117">
        <f t="shared" si="7"/>
        <v>1</v>
      </c>
      <c r="T54" s="117">
        <f t="shared" si="16"/>
        <v>0</v>
      </c>
      <c r="U54" s="145">
        <f t="shared" si="17"/>
        <v>0.5192988378234507</v>
      </c>
      <c r="V54" s="137">
        <f t="shared" si="8"/>
        <v>15</v>
      </c>
      <c r="W54" s="137">
        <f t="shared" si="9"/>
        <v>30</v>
      </c>
      <c r="Z54" s="141">
        <f>IF(capacity&lt;B53+pluie!E46*catch/1000-F54*dinm*1000,-capacity+B53+pluie!E46*catch/1000-F54*dinm*1000,0)</f>
        <v>0</v>
      </c>
      <c r="AA54" s="141">
        <f t="shared" si="18"/>
        <v>0</v>
      </c>
      <c r="AB54" s="141">
        <f t="shared" si="19"/>
        <v>0</v>
      </c>
      <c r="AC54" s="10"/>
    </row>
    <row r="55" spans="1:29" s="7" customFormat="1" ht="11.25">
      <c r="A55" s="124">
        <v>45</v>
      </c>
      <c r="B55" s="141">
        <f>MIN(capacity,B54+pluie!E47*catch/1000-F55*dinm*1000)</f>
        <v>306358.78028966615</v>
      </c>
      <c r="C55" s="145">
        <f t="shared" si="0"/>
        <v>0.3063587802896661</v>
      </c>
      <c r="D55" s="140">
        <v>0.5</v>
      </c>
      <c r="E55" s="122">
        <f t="shared" si="10"/>
        <v>7.5</v>
      </c>
      <c r="F55" s="122">
        <f t="shared" si="11"/>
        <v>7.5</v>
      </c>
      <c r="G55" s="117">
        <f t="shared" si="1"/>
        <v>0</v>
      </c>
      <c r="H55" s="117">
        <f t="shared" si="2"/>
        <v>0</v>
      </c>
      <c r="I55" s="122">
        <f t="shared" si="12"/>
        <v>0</v>
      </c>
      <c r="J55" s="138">
        <f t="shared" si="3"/>
        <v>5.625</v>
      </c>
      <c r="K55" s="10"/>
      <c r="L55" s="141">
        <f t="shared" si="4"/>
        <v>55349.686565478056</v>
      </c>
      <c r="M55" s="117">
        <f t="shared" si="13"/>
        <v>1</v>
      </c>
      <c r="N55" s="117">
        <f t="shared" si="14"/>
        <v>0</v>
      </c>
      <c r="O55" s="141">
        <f t="shared" si="15"/>
        <v>19650.313434521944</v>
      </c>
      <c r="P55" s="142">
        <f t="shared" si="5"/>
        <v>75000</v>
      </c>
      <c r="Q55" s="10"/>
      <c r="R55" s="145">
        <f t="shared" si="6"/>
        <v>11.069937313095611</v>
      </c>
      <c r="S55" s="117">
        <f t="shared" si="7"/>
        <v>1</v>
      </c>
      <c r="T55" s="117">
        <f t="shared" si="16"/>
        <v>0</v>
      </c>
      <c r="U55" s="145">
        <f t="shared" si="17"/>
        <v>3.930062686904389</v>
      </c>
      <c r="V55" s="137">
        <f t="shared" si="8"/>
        <v>15</v>
      </c>
      <c r="W55" s="137">
        <f t="shared" si="9"/>
        <v>30</v>
      </c>
      <c r="Z55" s="141">
        <f>IF(capacity&lt;B54+pluie!E47*catch/1000-F55*dinm*1000,-capacity+B54+pluie!E47*catch/1000-F55*dinm*1000,0)</f>
        <v>0</v>
      </c>
      <c r="AA55" s="141">
        <f t="shared" si="18"/>
        <v>0</v>
      </c>
      <c r="AB55" s="141">
        <f t="shared" si="19"/>
        <v>0</v>
      </c>
      <c r="AC55" s="10"/>
    </row>
    <row r="56" spans="1:29" s="7" customFormat="1" ht="11.25">
      <c r="A56" s="124">
        <v>46</v>
      </c>
      <c r="B56" s="141">
        <f>MIN(capacity,B55+pluie!E48*catch/1000-F56*dinm*1000)</f>
        <v>336013.6391842314</v>
      </c>
      <c r="C56" s="145">
        <f t="shared" si="0"/>
        <v>0.3360136391842314</v>
      </c>
      <c r="D56" s="140">
        <v>0.5</v>
      </c>
      <c r="E56" s="122">
        <f t="shared" si="10"/>
        <v>3.75</v>
      </c>
      <c r="F56" s="122">
        <f t="shared" si="11"/>
        <v>3.75</v>
      </c>
      <c r="G56" s="117">
        <f t="shared" si="1"/>
        <v>1</v>
      </c>
      <c r="H56" s="117">
        <f t="shared" si="2"/>
        <v>0</v>
      </c>
      <c r="I56" s="122">
        <f t="shared" si="12"/>
        <v>3.75</v>
      </c>
      <c r="J56" s="138">
        <f t="shared" si="3"/>
        <v>5.625</v>
      </c>
      <c r="K56" s="10"/>
      <c r="L56" s="141">
        <f t="shared" si="4"/>
        <v>57966.68346423068</v>
      </c>
      <c r="M56" s="117">
        <f t="shared" si="13"/>
        <v>1</v>
      </c>
      <c r="N56" s="117">
        <f t="shared" si="14"/>
        <v>0</v>
      </c>
      <c r="O56" s="141">
        <f t="shared" si="15"/>
        <v>17033.31653576932</v>
      </c>
      <c r="P56" s="142">
        <f t="shared" si="5"/>
        <v>75000</v>
      </c>
      <c r="Q56" s="10"/>
      <c r="R56" s="145">
        <f t="shared" si="6"/>
        <v>11.593336692846135</v>
      </c>
      <c r="S56" s="117">
        <f t="shared" si="7"/>
        <v>1</v>
      </c>
      <c r="T56" s="117">
        <f t="shared" si="16"/>
        <v>0</v>
      </c>
      <c r="U56" s="145">
        <f t="shared" si="17"/>
        <v>3.406663307153865</v>
      </c>
      <c r="V56" s="137">
        <f t="shared" si="8"/>
        <v>15</v>
      </c>
      <c r="W56" s="137">
        <f t="shared" si="9"/>
        <v>30</v>
      </c>
      <c r="Z56" s="141">
        <f>IF(capacity&lt;B55+pluie!E48*catch/1000-F56*dinm*1000,-capacity+B55+pluie!E48*catch/1000-F56*dinm*1000,0)</f>
        <v>0</v>
      </c>
      <c r="AA56" s="141">
        <f t="shared" si="18"/>
        <v>0</v>
      </c>
      <c r="AB56" s="141">
        <f t="shared" si="19"/>
        <v>0</v>
      </c>
      <c r="AC56" s="10"/>
    </row>
    <row r="57" spans="1:29" s="7" customFormat="1" ht="11.25">
      <c r="A57" s="124">
        <v>47</v>
      </c>
      <c r="B57" s="141">
        <f>MIN(capacity,B56+pluie!E49*catch/1000-F57*dinm*1000)</f>
        <v>1000000</v>
      </c>
      <c r="C57" s="145">
        <f t="shared" si="0"/>
        <v>1</v>
      </c>
      <c r="D57" s="140">
        <v>0.5</v>
      </c>
      <c r="E57" s="122">
        <f t="shared" si="10"/>
        <v>3.75</v>
      </c>
      <c r="F57" s="122">
        <f t="shared" si="11"/>
        <v>3.75</v>
      </c>
      <c r="G57" s="117">
        <f t="shared" si="1"/>
        <v>1</v>
      </c>
      <c r="H57" s="117">
        <f t="shared" si="2"/>
        <v>0</v>
      </c>
      <c r="I57" s="122">
        <f t="shared" si="12"/>
        <v>3.75</v>
      </c>
      <c r="J57" s="138">
        <f t="shared" si="3"/>
        <v>5.625</v>
      </c>
      <c r="K57" s="10"/>
      <c r="L57" s="141">
        <f t="shared" si="4"/>
        <v>100000</v>
      </c>
      <c r="M57" s="117">
        <f t="shared" si="13"/>
        <v>0</v>
      </c>
      <c r="N57" s="117">
        <f t="shared" si="14"/>
        <v>1</v>
      </c>
      <c r="O57" s="141">
        <f t="shared" si="15"/>
        <v>0</v>
      </c>
      <c r="P57" s="142">
        <f t="shared" si="5"/>
        <v>75000</v>
      </c>
      <c r="Q57" s="10"/>
      <c r="R57" s="145">
        <f t="shared" si="6"/>
        <v>20</v>
      </c>
      <c r="S57" s="117">
        <f t="shared" si="7"/>
        <v>0</v>
      </c>
      <c r="T57" s="117">
        <f t="shared" si="16"/>
        <v>1</v>
      </c>
      <c r="U57" s="145">
        <f t="shared" si="17"/>
        <v>0</v>
      </c>
      <c r="V57" s="137">
        <f t="shared" si="8"/>
        <v>15</v>
      </c>
      <c r="W57" s="137">
        <f t="shared" si="9"/>
        <v>30</v>
      </c>
      <c r="Z57" s="141">
        <f>IF(capacity&lt;B56+pluie!E49*catch/1000-F57*dinm*1000,-capacity+B56+pluie!E49*catch/1000-F57*dinm*1000,0)</f>
        <v>1198183.6927403903</v>
      </c>
      <c r="AA57" s="141">
        <f t="shared" si="18"/>
        <v>1</v>
      </c>
      <c r="AB57" s="141">
        <f t="shared" si="19"/>
        <v>0</v>
      </c>
      <c r="AC57" s="10"/>
    </row>
    <row r="58" spans="1:29" s="7" customFormat="1" ht="11.25">
      <c r="A58" s="124">
        <v>48</v>
      </c>
      <c r="B58" s="141">
        <f>MIN(capacity,B57+pluie!E50*catch/1000-F58*dinm*1000)</f>
        <v>1000000</v>
      </c>
      <c r="C58" s="145">
        <f t="shared" si="0"/>
        <v>1</v>
      </c>
      <c r="D58" s="140">
        <v>0.5</v>
      </c>
      <c r="E58" s="122">
        <f t="shared" si="10"/>
        <v>7.5</v>
      </c>
      <c r="F58" s="122">
        <f t="shared" si="11"/>
        <v>7.5</v>
      </c>
      <c r="G58" s="117">
        <f t="shared" si="1"/>
        <v>0</v>
      </c>
      <c r="H58" s="117">
        <f t="shared" si="2"/>
        <v>1</v>
      </c>
      <c r="I58" s="122">
        <f t="shared" si="12"/>
        <v>0</v>
      </c>
      <c r="J58" s="138">
        <f t="shared" si="3"/>
        <v>5.625</v>
      </c>
      <c r="K58" s="10"/>
      <c r="L58" s="141">
        <f t="shared" si="4"/>
        <v>100000</v>
      </c>
      <c r="M58" s="117">
        <f t="shared" si="13"/>
        <v>0</v>
      </c>
      <c r="N58" s="117">
        <f t="shared" si="14"/>
        <v>0</v>
      </c>
      <c r="O58" s="141">
        <f t="shared" si="15"/>
        <v>0</v>
      </c>
      <c r="P58" s="142">
        <f t="shared" si="5"/>
        <v>75000</v>
      </c>
      <c r="Q58" s="10"/>
      <c r="R58" s="145">
        <f t="shared" si="6"/>
        <v>20</v>
      </c>
      <c r="S58" s="117">
        <f t="shared" si="7"/>
        <v>0</v>
      </c>
      <c r="T58" s="117">
        <f t="shared" si="16"/>
        <v>0</v>
      </c>
      <c r="U58" s="145">
        <f t="shared" si="17"/>
        <v>0</v>
      </c>
      <c r="V58" s="137">
        <f t="shared" si="8"/>
        <v>15</v>
      </c>
      <c r="W58" s="137">
        <f t="shared" si="9"/>
        <v>30</v>
      </c>
      <c r="Z58" s="141">
        <f>IF(capacity&lt;B57+pluie!E50*catch/1000-F58*dinm*1000,-capacity+B57+pluie!E50*catch/1000-F58*dinm*1000,0)</f>
        <v>1041654.801766102</v>
      </c>
      <c r="AA58" s="141">
        <f t="shared" si="18"/>
        <v>1</v>
      </c>
      <c r="AB58" s="141">
        <f t="shared" si="19"/>
        <v>0</v>
      </c>
      <c r="AC58" s="10"/>
    </row>
    <row r="59" spans="1:29" s="7" customFormat="1" ht="11.25">
      <c r="A59" s="124">
        <v>49</v>
      </c>
      <c r="B59" s="141">
        <f>MIN(capacity,B58+pluie!E51*catch/1000-F59*dinm*1000)</f>
        <v>1000000</v>
      </c>
      <c r="C59" s="145">
        <f t="shared" si="0"/>
        <v>1</v>
      </c>
      <c r="D59" s="140">
        <v>0.5</v>
      </c>
      <c r="E59" s="122">
        <f t="shared" si="10"/>
        <v>7.5</v>
      </c>
      <c r="F59" s="122">
        <f t="shared" si="11"/>
        <v>7.5</v>
      </c>
      <c r="G59" s="117">
        <f t="shared" si="1"/>
        <v>0</v>
      </c>
      <c r="H59" s="117">
        <f t="shared" si="2"/>
        <v>0</v>
      </c>
      <c r="I59" s="122">
        <f t="shared" si="12"/>
        <v>0</v>
      </c>
      <c r="J59" s="138">
        <f t="shared" si="3"/>
        <v>5.625</v>
      </c>
      <c r="K59" s="10"/>
      <c r="L59" s="141">
        <f t="shared" si="4"/>
        <v>100000</v>
      </c>
      <c r="M59" s="117">
        <f t="shared" si="13"/>
        <v>0</v>
      </c>
      <c r="N59" s="117">
        <f t="shared" si="14"/>
        <v>0</v>
      </c>
      <c r="O59" s="141">
        <f t="shared" si="15"/>
        <v>0</v>
      </c>
      <c r="P59" s="142">
        <f t="shared" si="5"/>
        <v>75000</v>
      </c>
      <c r="Q59" s="10"/>
      <c r="R59" s="145">
        <f t="shared" si="6"/>
        <v>20</v>
      </c>
      <c r="S59" s="117">
        <f t="shared" si="7"/>
        <v>0</v>
      </c>
      <c r="T59" s="117">
        <f t="shared" si="16"/>
        <v>0</v>
      </c>
      <c r="U59" s="145">
        <f t="shared" si="17"/>
        <v>0</v>
      </c>
      <c r="V59" s="137">
        <f t="shared" si="8"/>
        <v>15</v>
      </c>
      <c r="W59" s="137">
        <f t="shared" si="9"/>
        <v>30</v>
      </c>
      <c r="Z59" s="141">
        <f>IF(capacity&lt;B58+pluie!E51*catch/1000-F59*dinm*1000,-capacity+B58+pluie!E51*catch/1000-F59*dinm*1000,0)</f>
        <v>507792.9532780794</v>
      </c>
      <c r="AA59" s="141">
        <f t="shared" si="18"/>
        <v>1</v>
      </c>
      <c r="AB59" s="141">
        <f t="shared" si="19"/>
        <v>0</v>
      </c>
      <c r="AC59" s="10"/>
    </row>
    <row r="60" spans="1:29" s="7" customFormat="1" ht="11.25">
      <c r="A60" s="124">
        <v>50</v>
      </c>
      <c r="B60" s="141">
        <f>MIN(capacity,B59+pluie!E52*catch/1000-F60*dinm*1000)</f>
        <v>1000000</v>
      </c>
      <c r="C60" s="145">
        <f t="shared" si="0"/>
        <v>1</v>
      </c>
      <c r="D60" s="140">
        <v>0.5</v>
      </c>
      <c r="E60" s="122">
        <f t="shared" si="10"/>
        <v>7.5</v>
      </c>
      <c r="F60" s="122">
        <f t="shared" si="11"/>
        <v>7.5</v>
      </c>
      <c r="G60" s="117">
        <f t="shared" si="1"/>
        <v>0</v>
      </c>
      <c r="H60" s="117">
        <f t="shared" si="2"/>
        <v>0</v>
      </c>
      <c r="I60" s="122">
        <f t="shared" si="12"/>
        <v>0</v>
      </c>
      <c r="J60" s="138">
        <f t="shared" si="3"/>
        <v>5.625</v>
      </c>
      <c r="K60" s="10"/>
      <c r="L60" s="141">
        <f t="shared" si="4"/>
        <v>100000</v>
      </c>
      <c r="M60" s="117">
        <f t="shared" si="13"/>
        <v>0</v>
      </c>
      <c r="N60" s="117">
        <f t="shared" si="14"/>
        <v>0</v>
      </c>
      <c r="O60" s="141">
        <f t="shared" si="15"/>
        <v>0</v>
      </c>
      <c r="P60" s="142">
        <f t="shared" si="5"/>
        <v>75000</v>
      </c>
      <c r="Q60" s="10"/>
      <c r="R60" s="145">
        <f t="shared" si="6"/>
        <v>20</v>
      </c>
      <c r="S60" s="117">
        <f t="shared" si="7"/>
        <v>0</v>
      </c>
      <c r="T60" s="117">
        <f t="shared" si="16"/>
        <v>0</v>
      </c>
      <c r="U60" s="145">
        <f t="shared" si="17"/>
        <v>0</v>
      </c>
      <c r="V60" s="137">
        <f t="shared" si="8"/>
        <v>15</v>
      </c>
      <c r="W60" s="137">
        <f t="shared" si="9"/>
        <v>30</v>
      </c>
      <c r="Z60" s="141">
        <f>IF(capacity&lt;B59+pluie!E52*catch/1000-F60*dinm*1000,-capacity+B59+pluie!E52*catch/1000-F60*dinm*1000,0)</f>
        <v>422483.3937017886</v>
      </c>
      <c r="AA60" s="141">
        <f t="shared" si="18"/>
        <v>1</v>
      </c>
      <c r="AB60" s="141">
        <f t="shared" si="19"/>
        <v>0</v>
      </c>
      <c r="AC60" s="10"/>
    </row>
    <row r="61" spans="1:29" s="7" customFormat="1" ht="11.25">
      <c r="A61" s="124">
        <v>51</v>
      </c>
      <c r="B61" s="141">
        <f>MIN(capacity,B60+pluie!E53*catch/1000-F61*dinm*1000)</f>
        <v>1000000</v>
      </c>
      <c r="C61" s="145">
        <f t="shared" si="0"/>
        <v>1</v>
      </c>
      <c r="D61" s="140">
        <v>0.5</v>
      </c>
      <c r="E61" s="122">
        <f t="shared" si="10"/>
        <v>7.5</v>
      </c>
      <c r="F61" s="122">
        <f t="shared" si="11"/>
        <v>7.5</v>
      </c>
      <c r="G61" s="117">
        <f t="shared" si="1"/>
        <v>0</v>
      </c>
      <c r="H61" s="117">
        <f t="shared" si="2"/>
        <v>0</v>
      </c>
      <c r="I61" s="122">
        <f t="shared" si="12"/>
        <v>0</v>
      </c>
      <c r="J61" s="138">
        <f t="shared" si="3"/>
        <v>5.625</v>
      </c>
      <c r="K61" s="10"/>
      <c r="L61" s="141">
        <f t="shared" si="4"/>
        <v>100000</v>
      </c>
      <c r="M61" s="117">
        <f t="shared" si="13"/>
        <v>0</v>
      </c>
      <c r="N61" s="117">
        <f t="shared" si="14"/>
        <v>0</v>
      </c>
      <c r="O61" s="141">
        <f t="shared" si="15"/>
        <v>0</v>
      </c>
      <c r="P61" s="142">
        <f t="shared" si="5"/>
        <v>75000</v>
      </c>
      <c r="Q61" s="10"/>
      <c r="R61" s="145">
        <f t="shared" si="6"/>
        <v>20</v>
      </c>
      <c r="S61" s="117">
        <f t="shared" si="7"/>
        <v>0</v>
      </c>
      <c r="T61" s="117">
        <f t="shared" si="16"/>
        <v>0</v>
      </c>
      <c r="U61" s="145">
        <f t="shared" si="17"/>
        <v>0</v>
      </c>
      <c r="V61" s="137">
        <f t="shared" si="8"/>
        <v>15</v>
      </c>
      <c r="W61" s="137">
        <f t="shared" si="9"/>
        <v>30</v>
      </c>
      <c r="Z61" s="141">
        <f>IF(capacity&lt;B60+pluie!E53*catch/1000-F61*dinm*1000,-capacity+B60+pluie!E53*catch/1000-F61*dinm*1000,0)</f>
        <v>930105.2813512671</v>
      </c>
      <c r="AA61" s="141">
        <f t="shared" si="18"/>
        <v>1</v>
      </c>
      <c r="AB61" s="141">
        <f t="shared" si="19"/>
        <v>0</v>
      </c>
      <c r="AC61" s="10"/>
    </row>
    <row r="62" spans="1:29" s="7" customFormat="1" ht="11.25">
      <c r="A62" s="124">
        <v>52</v>
      </c>
      <c r="B62" s="141">
        <f>MIN(capacity,B61+pluie!E54*catch/1000-F62*dinm*1000)</f>
        <v>1000000</v>
      </c>
      <c r="C62" s="145">
        <f t="shared" si="0"/>
        <v>1</v>
      </c>
      <c r="D62" s="140">
        <v>0.5</v>
      </c>
      <c r="E62" s="122">
        <f t="shared" si="10"/>
        <v>7.5</v>
      </c>
      <c r="F62" s="122">
        <f t="shared" si="11"/>
        <v>7.5</v>
      </c>
      <c r="G62" s="117">
        <f t="shared" si="1"/>
        <v>0</v>
      </c>
      <c r="H62" s="117">
        <f t="shared" si="2"/>
        <v>0</v>
      </c>
      <c r="I62" s="122">
        <f t="shared" si="12"/>
        <v>0</v>
      </c>
      <c r="J62" s="138">
        <f t="shared" si="3"/>
        <v>5.625</v>
      </c>
      <c r="K62" s="10"/>
      <c r="L62" s="141">
        <f t="shared" si="4"/>
        <v>100000</v>
      </c>
      <c r="M62" s="117">
        <f t="shared" si="13"/>
        <v>0</v>
      </c>
      <c r="N62" s="117">
        <f t="shared" si="14"/>
        <v>0</v>
      </c>
      <c r="O62" s="141">
        <f t="shared" si="15"/>
        <v>0</v>
      </c>
      <c r="P62" s="142">
        <f t="shared" si="5"/>
        <v>75000</v>
      </c>
      <c r="Q62" s="10"/>
      <c r="R62" s="145">
        <f t="shared" si="6"/>
        <v>20</v>
      </c>
      <c r="S62" s="117">
        <f t="shared" si="7"/>
        <v>0</v>
      </c>
      <c r="T62" s="117">
        <f t="shared" si="16"/>
        <v>0</v>
      </c>
      <c r="U62" s="145">
        <f t="shared" si="17"/>
        <v>0</v>
      </c>
      <c r="V62" s="137">
        <f t="shared" si="8"/>
        <v>15</v>
      </c>
      <c r="W62" s="137">
        <f t="shared" si="9"/>
        <v>30</v>
      </c>
      <c r="Z62" s="141">
        <f>IF(capacity&lt;B61+pluie!E54*catch/1000-F62*dinm*1000,-capacity+B61+pluie!E54*catch/1000-F62*dinm*1000,0)</f>
        <v>128644.71864873258</v>
      </c>
      <c r="AA62" s="141">
        <f t="shared" si="18"/>
        <v>1</v>
      </c>
      <c r="AB62" s="141">
        <f t="shared" si="19"/>
        <v>0</v>
      </c>
      <c r="AC62" s="10"/>
    </row>
    <row r="63" spans="1:29" s="7" customFormat="1" ht="11.25">
      <c r="A63" s="124">
        <v>53</v>
      </c>
      <c r="B63" s="141">
        <f>MIN(capacity,B62+pluie!E55*catch/1000-F63*dinm*1000)</f>
        <v>771875</v>
      </c>
      <c r="C63" s="145">
        <f t="shared" si="0"/>
        <v>0.771875</v>
      </c>
      <c r="D63" s="140">
        <v>0.5</v>
      </c>
      <c r="E63" s="122">
        <f t="shared" si="10"/>
        <v>7.5</v>
      </c>
      <c r="F63" s="122">
        <f t="shared" si="11"/>
        <v>7.5</v>
      </c>
      <c r="G63" s="117">
        <f t="shared" si="1"/>
        <v>0</v>
      </c>
      <c r="H63" s="117">
        <f t="shared" si="2"/>
        <v>0</v>
      </c>
      <c r="I63" s="122">
        <f t="shared" si="12"/>
        <v>0</v>
      </c>
      <c r="J63" s="138">
        <f t="shared" si="3"/>
        <v>5.625</v>
      </c>
      <c r="K63" s="10"/>
      <c r="L63" s="141">
        <f t="shared" si="4"/>
        <v>87856.4169540279</v>
      </c>
      <c r="M63" s="117">
        <f t="shared" si="13"/>
        <v>0</v>
      </c>
      <c r="N63" s="117">
        <f t="shared" si="14"/>
        <v>0</v>
      </c>
      <c r="O63" s="141">
        <f t="shared" si="15"/>
        <v>0</v>
      </c>
      <c r="P63" s="142">
        <f t="shared" si="5"/>
        <v>75000</v>
      </c>
      <c r="Q63" s="10"/>
      <c r="R63" s="145">
        <f t="shared" si="6"/>
        <v>17.57128339080558</v>
      </c>
      <c r="S63" s="117">
        <f t="shared" si="7"/>
        <v>0</v>
      </c>
      <c r="T63" s="117">
        <f t="shared" si="16"/>
        <v>0</v>
      </c>
      <c r="U63" s="145">
        <f t="shared" si="17"/>
        <v>0</v>
      </c>
      <c r="V63" s="137">
        <f t="shared" si="8"/>
        <v>15</v>
      </c>
      <c r="W63" s="137">
        <f t="shared" si="9"/>
        <v>30</v>
      </c>
      <c r="Z63" s="141">
        <f>IF(capacity&lt;B62+pluie!E55*catch/1000-F63*dinm*1000,-capacity+B62+pluie!E55*catch/1000-F63*dinm*1000,0)</f>
        <v>0</v>
      </c>
      <c r="AA63" s="141">
        <f t="shared" si="18"/>
        <v>0</v>
      </c>
      <c r="AB63" s="141">
        <f t="shared" si="19"/>
        <v>1</v>
      </c>
      <c r="AC63" s="10"/>
    </row>
    <row r="64" spans="1:29" s="7" customFormat="1" ht="11.25">
      <c r="A64" s="124">
        <v>54</v>
      </c>
      <c r="B64" s="141">
        <f>MIN(capacity,B63+pluie!E56*catch/1000-F64*dinm*1000)</f>
        <v>543750</v>
      </c>
      <c r="C64" s="145">
        <f t="shared" si="0"/>
        <v>0.54375</v>
      </c>
      <c r="D64" s="140">
        <v>0.5</v>
      </c>
      <c r="E64" s="122">
        <f t="shared" si="10"/>
        <v>7.5</v>
      </c>
      <c r="F64" s="122">
        <f t="shared" si="11"/>
        <v>7.5</v>
      </c>
      <c r="G64" s="117">
        <f t="shared" si="1"/>
        <v>0</v>
      </c>
      <c r="H64" s="117">
        <f t="shared" si="2"/>
        <v>0</v>
      </c>
      <c r="I64" s="122">
        <f t="shared" si="12"/>
        <v>0</v>
      </c>
      <c r="J64" s="138">
        <f t="shared" si="3"/>
        <v>5.625</v>
      </c>
      <c r="K64" s="10"/>
      <c r="L64" s="141">
        <f t="shared" si="4"/>
        <v>73739.40601876314</v>
      </c>
      <c r="M64" s="117">
        <f t="shared" si="13"/>
        <v>1</v>
      </c>
      <c r="N64" s="117">
        <f t="shared" si="14"/>
        <v>0</v>
      </c>
      <c r="O64" s="141">
        <f t="shared" si="15"/>
        <v>1260.5939812368597</v>
      </c>
      <c r="P64" s="142">
        <f t="shared" si="5"/>
        <v>75000</v>
      </c>
      <c r="Q64" s="10"/>
      <c r="R64" s="145">
        <f t="shared" si="6"/>
        <v>14.747881203752625</v>
      </c>
      <c r="S64" s="117">
        <f t="shared" si="7"/>
        <v>1</v>
      </c>
      <c r="T64" s="117">
        <f t="shared" si="16"/>
        <v>0</v>
      </c>
      <c r="U64" s="145">
        <f t="shared" si="17"/>
        <v>0.252118796247375</v>
      </c>
      <c r="V64" s="137">
        <f t="shared" si="8"/>
        <v>15</v>
      </c>
      <c r="W64" s="137">
        <f t="shared" si="9"/>
        <v>30</v>
      </c>
      <c r="Z64" s="141">
        <f>IF(capacity&lt;B63+pluie!E56*catch/1000-F64*dinm*1000,-capacity+B63+pluie!E56*catch/1000-F64*dinm*1000,0)</f>
        <v>0</v>
      </c>
      <c r="AA64" s="141">
        <f t="shared" si="18"/>
        <v>0</v>
      </c>
      <c r="AB64" s="141">
        <f t="shared" si="19"/>
        <v>0</v>
      </c>
      <c r="AC64" s="10"/>
    </row>
    <row r="65" spans="1:29" s="7" customFormat="1" ht="11.25">
      <c r="A65" s="124">
        <v>55</v>
      </c>
      <c r="B65" s="141">
        <f>MIN(capacity,B64+pluie!E57*catch/1000-F65*dinm*1000)</f>
        <v>315625</v>
      </c>
      <c r="C65" s="145">
        <f t="shared" si="0"/>
        <v>0.315625</v>
      </c>
      <c r="D65" s="140">
        <v>0.5</v>
      </c>
      <c r="E65" s="122">
        <f t="shared" si="10"/>
        <v>7.5</v>
      </c>
      <c r="F65" s="122">
        <f t="shared" si="11"/>
        <v>7.5</v>
      </c>
      <c r="G65" s="117">
        <f t="shared" si="1"/>
        <v>0</v>
      </c>
      <c r="H65" s="117">
        <f t="shared" si="2"/>
        <v>0</v>
      </c>
      <c r="I65" s="122">
        <f t="shared" si="12"/>
        <v>0</v>
      </c>
      <c r="J65" s="138">
        <f t="shared" si="3"/>
        <v>5.625</v>
      </c>
      <c r="K65" s="10"/>
      <c r="L65" s="141">
        <f t="shared" si="4"/>
        <v>56180.51263561058</v>
      </c>
      <c r="M65" s="117">
        <f t="shared" si="13"/>
        <v>1</v>
      </c>
      <c r="N65" s="117">
        <f t="shared" si="14"/>
        <v>0</v>
      </c>
      <c r="O65" s="141">
        <f t="shared" si="15"/>
        <v>18819.487364389417</v>
      </c>
      <c r="P65" s="142">
        <f t="shared" si="5"/>
        <v>75000</v>
      </c>
      <c r="Q65" s="10"/>
      <c r="R65" s="145">
        <f t="shared" si="6"/>
        <v>11.236102527122116</v>
      </c>
      <c r="S65" s="117">
        <f t="shared" si="7"/>
        <v>1</v>
      </c>
      <c r="T65" s="117">
        <f t="shared" si="16"/>
        <v>0</v>
      </c>
      <c r="U65" s="145">
        <f t="shared" si="17"/>
        <v>3.7638974728778845</v>
      </c>
      <c r="V65" s="137">
        <f t="shared" si="8"/>
        <v>15</v>
      </c>
      <c r="W65" s="137">
        <f t="shared" si="9"/>
        <v>30</v>
      </c>
      <c r="Z65" s="141">
        <f>IF(capacity&lt;B64+pluie!E57*catch/1000-F65*dinm*1000,-capacity+B64+pluie!E57*catch/1000-F65*dinm*1000,0)</f>
        <v>0</v>
      </c>
      <c r="AA65" s="141">
        <f t="shared" si="18"/>
        <v>0</v>
      </c>
      <c r="AB65" s="141">
        <f t="shared" si="19"/>
        <v>0</v>
      </c>
      <c r="AC65" s="10"/>
    </row>
    <row r="66" spans="1:29" s="7" customFormat="1" ht="11.25">
      <c r="A66" s="124">
        <v>56</v>
      </c>
      <c r="B66" s="141">
        <f>MIN(capacity,B65+pluie!E58*catch/1000-F66*dinm*1000)</f>
        <v>799578.8637838559</v>
      </c>
      <c r="C66" s="145">
        <f t="shared" si="0"/>
        <v>0.7995788637838559</v>
      </c>
      <c r="D66" s="140">
        <v>0.5</v>
      </c>
      <c r="E66" s="122">
        <f t="shared" si="10"/>
        <v>3.75</v>
      </c>
      <c r="F66" s="122">
        <f t="shared" si="11"/>
        <v>3.75</v>
      </c>
      <c r="G66" s="117">
        <f t="shared" si="1"/>
        <v>1</v>
      </c>
      <c r="H66" s="117">
        <f t="shared" si="2"/>
        <v>0</v>
      </c>
      <c r="I66" s="122">
        <f t="shared" si="12"/>
        <v>3.75</v>
      </c>
      <c r="J66" s="138">
        <f t="shared" si="3"/>
        <v>5.625</v>
      </c>
      <c r="K66" s="10"/>
      <c r="L66" s="141">
        <f t="shared" si="4"/>
        <v>89419.1737707219</v>
      </c>
      <c r="M66" s="117">
        <f t="shared" si="13"/>
        <v>0</v>
      </c>
      <c r="N66" s="117">
        <f t="shared" si="14"/>
        <v>1</v>
      </c>
      <c r="O66" s="141">
        <f t="shared" si="15"/>
        <v>0</v>
      </c>
      <c r="P66" s="142">
        <f t="shared" si="5"/>
        <v>75000</v>
      </c>
      <c r="Q66" s="10"/>
      <c r="R66" s="145">
        <f t="shared" si="6"/>
        <v>17.88383475414438</v>
      </c>
      <c r="S66" s="117">
        <f t="shared" si="7"/>
        <v>0</v>
      </c>
      <c r="T66" s="117">
        <f t="shared" si="16"/>
        <v>1</v>
      </c>
      <c r="U66" s="145">
        <f t="shared" si="17"/>
        <v>0</v>
      </c>
      <c r="V66" s="137">
        <f t="shared" si="8"/>
        <v>15</v>
      </c>
      <c r="W66" s="137">
        <f t="shared" si="9"/>
        <v>30</v>
      </c>
      <c r="Z66" s="141">
        <f>IF(capacity&lt;B65+pluie!E58*catch/1000-F66*dinm*1000,-capacity+B65+pluie!E58*catch/1000-F66*dinm*1000,0)</f>
        <v>0</v>
      </c>
      <c r="AA66" s="141">
        <f t="shared" si="18"/>
        <v>0</v>
      </c>
      <c r="AB66" s="141">
        <f t="shared" si="19"/>
        <v>0</v>
      </c>
      <c r="AC66" s="10"/>
    </row>
    <row r="67" spans="1:29" s="7" customFormat="1" ht="11.25">
      <c r="A67" s="124">
        <v>57</v>
      </c>
      <c r="B67" s="141">
        <f>MIN(capacity,B66+pluie!E59*catch/1000-F67*dinm*1000)</f>
        <v>908710.8787028687</v>
      </c>
      <c r="C67" s="145">
        <f t="shared" si="0"/>
        <v>0.9087108787028687</v>
      </c>
      <c r="D67" s="140">
        <v>0.5</v>
      </c>
      <c r="E67" s="122">
        <f t="shared" si="10"/>
        <v>7.5</v>
      </c>
      <c r="F67" s="122">
        <f t="shared" si="11"/>
        <v>7.5</v>
      </c>
      <c r="G67" s="117">
        <f t="shared" si="1"/>
        <v>0</v>
      </c>
      <c r="H67" s="117">
        <f t="shared" si="2"/>
        <v>1</v>
      </c>
      <c r="I67" s="122">
        <f t="shared" si="12"/>
        <v>0</v>
      </c>
      <c r="J67" s="138">
        <f t="shared" si="3"/>
        <v>5.625</v>
      </c>
      <c r="K67" s="10"/>
      <c r="L67" s="141">
        <f t="shared" si="4"/>
        <v>95326.32787970324</v>
      </c>
      <c r="M67" s="117">
        <f t="shared" si="13"/>
        <v>0</v>
      </c>
      <c r="N67" s="117">
        <f t="shared" si="14"/>
        <v>0</v>
      </c>
      <c r="O67" s="141">
        <f t="shared" si="15"/>
        <v>0</v>
      </c>
      <c r="P67" s="142">
        <f t="shared" si="5"/>
        <v>75000</v>
      </c>
      <c r="Q67" s="10"/>
      <c r="R67" s="145">
        <f t="shared" si="6"/>
        <v>19.065265575940646</v>
      </c>
      <c r="S67" s="117">
        <f t="shared" si="7"/>
        <v>0</v>
      </c>
      <c r="T67" s="117">
        <f t="shared" si="16"/>
        <v>0</v>
      </c>
      <c r="U67" s="145">
        <f t="shared" si="17"/>
        <v>0</v>
      </c>
      <c r="V67" s="137">
        <f t="shared" si="8"/>
        <v>15</v>
      </c>
      <c r="W67" s="137">
        <f t="shared" si="9"/>
        <v>30</v>
      </c>
      <c r="Z67" s="141">
        <f>IF(capacity&lt;B66+pluie!E59*catch/1000-F67*dinm*1000,-capacity+B66+pluie!E59*catch/1000-F67*dinm*1000,0)</f>
        <v>0</v>
      </c>
      <c r="AA67" s="141">
        <f t="shared" si="18"/>
        <v>0</v>
      </c>
      <c r="AB67" s="141">
        <f t="shared" si="19"/>
        <v>0</v>
      </c>
      <c r="AC67" s="10"/>
    </row>
    <row r="68" spans="1:29" s="7" customFormat="1" ht="11.25">
      <c r="A68" s="124">
        <v>58</v>
      </c>
      <c r="B68" s="141">
        <f>MIN(capacity,B67+pluie!E60*catch/1000-F68*dinm*1000)</f>
        <v>1000000</v>
      </c>
      <c r="C68" s="145">
        <f t="shared" si="0"/>
        <v>1</v>
      </c>
      <c r="D68" s="140">
        <v>0.5</v>
      </c>
      <c r="E68" s="122">
        <f t="shared" si="10"/>
        <v>7.5</v>
      </c>
      <c r="F68" s="122">
        <f t="shared" si="11"/>
        <v>7.5</v>
      </c>
      <c r="G68" s="117">
        <f t="shared" si="1"/>
        <v>0</v>
      </c>
      <c r="H68" s="117">
        <f t="shared" si="2"/>
        <v>0</v>
      </c>
      <c r="I68" s="122">
        <f t="shared" si="12"/>
        <v>0</v>
      </c>
      <c r="J68" s="138">
        <f t="shared" si="3"/>
        <v>5.625</v>
      </c>
      <c r="K68" s="10"/>
      <c r="L68" s="141">
        <f t="shared" si="4"/>
        <v>100000</v>
      </c>
      <c r="M68" s="117">
        <f t="shared" si="13"/>
        <v>0</v>
      </c>
      <c r="N68" s="117">
        <f t="shared" si="14"/>
        <v>0</v>
      </c>
      <c r="O68" s="141">
        <f t="shared" si="15"/>
        <v>0</v>
      </c>
      <c r="P68" s="142">
        <f t="shared" si="5"/>
        <v>75000</v>
      </c>
      <c r="Q68" s="10"/>
      <c r="R68" s="145">
        <f t="shared" si="6"/>
        <v>20</v>
      </c>
      <c r="S68" s="117">
        <f t="shared" si="7"/>
        <v>0</v>
      </c>
      <c r="T68" s="117">
        <f t="shared" si="16"/>
        <v>0</v>
      </c>
      <c r="U68" s="145">
        <f t="shared" si="17"/>
        <v>0</v>
      </c>
      <c r="V68" s="137">
        <f t="shared" si="8"/>
        <v>15</v>
      </c>
      <c r="W68" s="137">
        <f t="shared" si="9"/>
        <v>30</v>
      </c>
      <c r="Z68" s="141">
        <f>IF(capacity&lt;B67+pluie!E60*catch/1000-F68*dinm*1000,-capacity+B67+pluie!E60*catch/1000-F68*dinm*1000,0)</f>
        <v>319303.23759743397</v>
      </c>
      <c r="AA68" s="141">
        <f t="shared" si="18"/>
        <v>1</v>
      </c>
      <c r="AB68" s="141">
        <f t="shared" si="19"/>
        <v>0</v>
      </c>
      <c r="AC68" s="10"/>
    </row>
    <row r="69" spans="1:29" s="7" customFormat="1" ht="11.25">
      <c r="A69" s="124">
        <v>59</v>
      </c>
      <c r="B69" s="141">
        <f>MIN(capacity,B68+pluie!E61*catch/1000-F69*dinm*1000)</f>
        <v>1000000</v>
      </c>
      <c r="C69" s="145">
        <f t="shared" si="0"/>
        <v>1</v>
      </c>
      <c r="D69" s="140">
        <v>0.5</v>
      </c>
      <c r="E69" s="122">
        <f t="shared" si="10"/>
        <v>7.5</v>
      </c>
      <c r="F69" s="122">
        <f t="shared" si="11"/>
        <v>7.5</v>
      </c>
      <c r="G69" s="117">
        <f t="shared" si="1"/>
        <v>0</v>
      </c>
      <c r="H69" s="117">
        <f t="shared" si="2"/>
        <v>0</v>
      </c>
      <c r="I69" s="122">
        <f t="shared" si="12"/>
        <v>0</v>
      </c>
      <c r="J69" s="138">
        <f t="shared" si="3"/>
        <v>5.625</v>
      </c>
      <c r="K69" s="10"/>
      <c r="L69" s="141">
        <f t="shared" si="4"/>
        <v>100000</v>
      </c>
      <c r="M69" s="117">
        <f t="shared" si="13"/>
        <v>0</v>
      </c>
      <c r="N69" s="117">
        <f t="shared" si="14"/>
        <v>0</v>
      </c>
      <c r="O69" s="141">
        <f t="shared" si="15"/>
        <v>0</v>
      </c>
      <c r="P69" s="142">
        <f t="shared" si="5"/>
        <v>75000</v>
      </c>
      <c r="Q69" s="10"/>
      <c r="R69" s="145">
        <f t="shared" si="6"/>
        <v>20</v>
      </c>
      <c r="S69" s="117">
        <f t="shared" si="7"/>
        <v>0</v>
      </c>
      <c r="T69" s="117">
        <f t="shared" si="16"/>
        <v>0</v>
      </c>
      <c r="U69" s="145">
        <f t="shared" si="17"/>
        <v>0</v>
      </c>
      <c r="V69" s="137">
        <f t="shared" si="8"/>
        <v>15</v>
      </c>
      <c r="W69" s="137">
        <f t="shared" si="9"/>
        <v>30</v>
      </c>
      <c r="Z69" s="141">
        <f>IF(capacity&lt;B68+pluie!E61*catch/1000-F69*dinm*1000,-capacity+B68+pluie!E61*catch/1000-F69*dinm*1000,0)</f>
        <v>1057107.553556159</v>
      </c>
      <c r="AA69" s="141">
        <f t="shared" si="18"/>
        <v>1</v>
      </c>
      <c r="AB69" s="141">
        <f t="shared" si="19"/>
        <v>0</v>
      </c>
      <c r="AC69" s="10"/>
    </row>
    <row r="70" spans="1:29" s="7" customFormat="1" ht="11.25">
      <c r="A70" s="124">
        <v>60</v>
      </c>
      <c r="B70" s="141">
        <f>MIN(capacity,B69+pluie!E62*catch/1000-F70*dinm*1000)</f>
        <v>1000000</v>
      </c>
      <c r="C70" s="145">
        <f t="shared" si="0"/>
        <v>1</v>
      </c>
      <c r="D70" s="140">
        <v>0.5</v>
      </c>
      <c r="E70" s="122">
        <f t="shared" si="10"/>
        <v>7.5</v>
      </c>
      <c r="F70" s="122">
        <f t="shared" si="11"/>
        <v>7.5</v>
      </c>
      <c r="G70" s="117">
        <f t="shared" si="1"/>
        <v>0</v>
      </c>
      <c r="H70" s="117">
        <f t="shared" si="2"/>
        <v>0</v>
      </c>
      <c r="I70" s="122">
        <f t="shared" si="12"/>
        <v>0</v>
      </c>
      <c r="J70" s="138">
        <f t="shared" si="3"/>
        <v>5.625</v>
      </c>
      <c r="K70" s="10"/>
      <c r="L70" s="141">
        <f t="shared" si="4"/>
        <v>100000</v>
      </c>
      <c r="M70" s="117">
        <f t="shared" si="13"/>
        <v>0</v>
      </c>
      <c r="N70" s="117">
        <f t="shared" si="14"/>
        <v>0</v>
      </c>
      <c r="O70" s="141">
        <f t="shared" si="15"/>
        <v>0</v>
      </c>
      <c r="P70" s="142">
        <f t="shared" si="5"/>
        <v>75000</v>
      </c>
      <c r="Q70" s="10"/>
      <c r="R70" s="145">
        <f t="shared" si="6"/>
        <v>20</v>
      </c>
      <c r="S70" s="117">
        <f t="shared" si="7"/>
        <v>0</v>
      </c>
      <c r="T70" s="117">
        <f t="shared" si="16"/>
        <v>0</v>
      </c>
      <c r="U70" s="145">
        <f t="shared" si="17"/>
        <v>0</v>
      </c>
      <c r="V70" s="137">
        <f t="shared" si="8"/>
        <v>15</v>
      </c>
      <c r="W70" s="137">
        <f t="shared" si="9"/>
        <v>30</v>
      </c>
      <c r="Z70" s="141">
        <f>IF(capacity&lt;B69+pluie!E62*catch/1000-F70*dinm*1000,-capacity+B69+pluie!E62*catch/1000-F70*dinm*1000,0)</f>
        <v>757654.801766102</v>
      </c>
      <c r="AA70" s="141">
        <f t="shared" si="18"/>
        <v>1</v>
      </c>
      <c r="AB70" s="141">
        <f t="shared" si="19"/>
        <v>0</v>
      </c>
      <c r="AC70" s="10"/>
    </row>
    <row r="71" spans="1:29" s="7" customFormat="1" ht="11.25">
      <c r="A71" s="124">
        <v>61</v>
      </c>
      <c r="B71" s="141">
        <f>MIN(capacity,B70+pluie!E63*catch/1000-F71*dinm*1000)</f>
        <v>1000000</v>
      </c>
      <c r="C71" s="145">
        <f t="shared" si="0"/>
        <v>1</v>
      </c>
      <c r="D71" s="140">
        <v>0.5</v>
      </c>
      <c r="E71" s="122">
        <f t="shared" si="10"/>
        <v>7.5</v>
      </c>
      <c r="F71" s="122">
        <f t="shared" si="11"/>
        <v>7.5</v>
      </c>
      <c r="G71" s="117">
        <f t="shared" si="1"/>
        <v>0</v>
      </c>
      <c r="H71" s="117">
        <f t="shared" si="2"/>
        <v>0</v>
      </c>
      <c r="I71" s="122">
        <f t="shared" si="12"/>
        <v>0</v>
      </c>
      <c r="J71" s="138">
        <f t="shared" si="3"/>
        <v>5.625</v>
      </c>
      <c r="K71" s="10"/>
      <c r="L71" s="141">
        <f t="shared" si="4"/>
        <v>100000</v>
      </c>
      <c r="M71" s="117">
        <f t="shared" si="13"/>
        <v>0</v>
      </c>
      <c r="N71" s="117">
        <f t="shared" si="14"/>
        <v>0</v>
      </c>
      <c r="O71" s="141">
        <f t="shared" si="15"/>
        <v>0</v>
      </c>
      <c r="P71" s="142">
        <f t="shared" si="5"/>
        <v>75000</v>
      </c>
      <c r="Q71" s="10"/>
      <c r="R71" s="145">
        <f t="shared" si="6"/>
        <v>20</v>
      </c>
      <c r="S71" s="117">
        <f t="shared" si="7"/>
        <v>0</v>
      </c>
      <c r="T71" s="117">
        <f t="shared" si="16"/>
        <v>0</v>
      </c>
      <c r="U71" s="145">
        <f t="shared" si="17"/>
        <v>0</v>
      </c>
      <c r="V71" s="137">
        <f t="shared" si="8"/>
        <v>15</v>
      </c>
      <c r="W71" s="137">
        <f t="shared" si="9"/>
        <v>30</v>
      </c>
      <c r="Z71" s="141">
        <f>IF(capacity&lt;B70+pluie!E63*catch/1000-F71*dinm*1000,-capacity+B70+pluie!E63*catch/1000-F71*dinm*1000,0)</f>
        <v>1401792.9532780794</v>
      </c>
      <c r="AA71" s="141">
        <f t="shared" si="18"/>
        <v>1</v>
      </c>
      <c r="AB71" s="141">
        <f t="shared" si="19"/>
        <v>0</v>
      </c>
      <c r="AC71" s="10"/>
    </row>
    <row r="72" spans="1:29" s="7" customFormat="1" ht="11.25">
      <c r="A72" s="124">
        <v>62</v>
      </c>
      <c r="B72" s="141">
        <f>MIN(capacity,B71+pluie!E64*catch/1000-F72*dinm*1000)</f>
        <v>771875</v>
      </c>
      <c r="C72" s="145">
        <f t="shared" si="0"/>
        <v>0.771875</v>
      </c>
      <c r="D72" s="140">
        <v>0.5</v>
      </c>
      <c r="E72" s="122">
        <f t="shared" si="10"/>
        <v>7.5</v>
      </c>
      <c r="F72" s="122">
        <f t="shared" si="11"/>
        <v>7.5</v>
      </c>
      <c r="G72" s="117">
        <f t="shared" si="1"/>
        <v>0</v>
      </c>
      <c r="H72" s="117">
        <f t="shared" si="2"/>
        <v>0</v>
      </c>
      <c r="I72" s="122">
        <f t="shared" si="12"/>
        <v>0</v>
      </c>
      <c r="J72" s="138">
        <f t="shared" si="3"/>
        <v>5.625</v>
      </c>
      <c r="K72" s="10"/>
      <c r="L72" s="141">
        <f t="shared" si="4"/>
        <v>87856.4169540279</v>
      </c>
      <c r="M72" s="117">
        <f t="shared" si="13"/>
        <v>0</v>
      </c>
      <c r="N72" s="117">
        <f t="shared" si="14"/>
        <v>0</v>
      </c>
      <c r="O72" s="141">
        <f t="shared" si="15"/>
        <v>0</v>
      </c>
      <c r="P72" s="142">
        <f t="shared" si="5"/>
        <v>75000</v>
      </c>
      <c r="Q72" s="10"/>
      <c r="R72" s="145">
        <f t="shared" si="6"/>
        <v>17.57128339080558</v>
      </c>
      <c r="S72" s="117">
        <f t="shared" si="7"/>
        <v>0</v>
      </c>
      <c r="T72" s="117">
        <f t="shared" si="16"/>
        <v>0</v>
      </c>
      <c r="U72" s="145">
        <f t="shared" si="17"/>
        <v>0</v>
      </c>
      <c r="V72" s="137">
        <f t="shared" si="8"/>
        <v>15</v>
      </c>
      <c r="W72" s="137">
        <f t="shared" si="9"/>
        <v>30</v>
      </c>
      <c r="Z72" s="141">
        <f>IF(capacity&lt;B71+pluie!E64*catch/1000-F72*dinm*1000,-capacity+B71+pluie!E64*catch/1000-F72*dinm*1000,0)</f>
        <v>0</v>
      </c>
      <c r="AA72" s="141">
        <f t="shared" si="18"/>
        <v>0</v>
      </c>
      <c r="AB72" s="141">
        <f t="shared" si="19"/>
        <v>1</v>
      </c>
      <c r="AC72" s="10"/>
    </row>
    <row r="73" spans="1:29" s="7" customFormat="1" ht="11.25">
      <c r="A73" s="124">
        <v>63</v>
      </c>
      <c r="B73" s="141">
        <f>MIN(capacity,B72+pluie!E65*catch/1000-F73*dinm*1000)</f>
        <v>543750</v>
      </c>
      <c r="C73" s="145">
        <f t="shared" si="0"/>
        <v>0.54375</v>
      </c>
      <c r="D73" s="140">
        <v>0.5</v>
      </c>
      <c r="E73" s="122">
        <f t="shared" si="10"/>
        <v>7.5</v>
      </c>
      <c r="F73" s="122">
        <f t="shared" si="11"/>
        <v>7.5</v>
      </c>
      <c r="G73" s="117">
        <f t="shared" si="1"/>
        <v>0</v>
      </c>
      <c r="H73" s="117">
        <f t="shared" si="2"/>
        <v>0</v>
      </c>
      <c r="I73" s="122">
        <f t="shared" si="12"/>
        <v>0</v>
      </c>
      <c r="J73" s="138">
        <f t="shared" si="3"/>
        <v>5.625</v>
      </c>
      <c r="K73" s="10"/>
      <c r="L73" s="141">
        <f t="shared" si="4"/>
        <v>73739.40601876314</v>
      </c>
      <c r="M73" s="117">
        <f t="shared" si="13"/>
        <v>1</v>
      </c>
      <c r="N73" s="117">
        <f t="shared" si="14"/>
        <v>0</v>
      </c>
      <c r="O73" s="141">
        <f t="shared" si="15"/>
        <v>1260.5939812368597</v>
      </c>
      <c r="P73" s="142">
        <f t="shared" si="5"/>
        <v>75000</v>
      </c>
      <c r="Q73" s="10"/>
      <c r="R73" s="145">
        <f t="shared" si="6"/>
        <v>14.747881203752625</v>
      </c>
      <c r="S73" s="117">
        <f t="shared" si="7"/>
        <v>1</v>
      </c>
      <c r="T73" s="117">
        <f t="shared" si="16"/>
        <v>0</v>
      </c>
      <c r="U73" s="145">
        <f t="shared" si="17"/>
        <v>0.252118796247375</v>
      </c>
      <c r="V73" s="137">
        <f t="shared" si="8"/>
        <v>15</v>
      </c>
      <c r="W73" s="137">
        <f t="shared" si="9"/>
        <v>30</v>
      </c>
      <c r="Z73" s="141">
        <f>IF(capacity&lt;B72+pluie!E65*catch/1000-F73*dinm*1000,-capacity+B72+pluie!E65*catch/1000-F73*dinm*1000,0)</f>
        <v>0</v>
      </c>
      <c r="AA73" s="141">
        <f t="shared" si="18"/>
        <v>0</v>
      </c>
      <c r="AB73" s="141">
        <f t="shared" si="19"/>
        <v>0</v>
      </c>
      <c r="AC73" s="10"/>
    </row>
    <row r="74" spans="1:29" s="7" customFormat="1" ht="11.25">
      <c r="A74" s="124">
        <v>64</v>
      </c>
      <c r="B74" s="141">
        <f>MIN(capacity,B73+pluie!E66*catch/1000-F74*dinm*1000)</f>
        <v>788394.7186487326</v>
      </c>
      <c r="C74" s="145">
        <f t="shared" si="0"/>
        <v>0.7883947186487327</v>
      </c>
      <c r="D74" s="140">
        <v>0.5</v>
      </c>
      <c r="E74" s="122">
        <f t="shared" si="10"/>
        <v>7.5</v>
      </c>
      <c r="F74" s="122">
        <f t="shared" si="11"/>
        <v>7.5</v>
      </c>
      <c r="G74" s="117">
        <f t="shared" si="1"/>
        <v>0</v>
      </c>
      <c r="H74" s="117">
        <f t="shared" si="2"/>
        <v>0</v>
      </c>
      <c r="I74" s="122">
        <f t="shared" si="12"/>
        <v>0</v>
      </c>
      <c r="J74" s="138">
        <f t="shared" si="3"/>
        <v>5.625</v>
      </c>
      <c r="K74" s="10"/>
      <c r="L74" s="141">
        <f t="shared" si="4"/>
        <v>88791.59412065608</v>
      </c>
      <c r="M74" s="117">
        <f t="shared" si="13"/>
        <v>0</v>
      </c>
      <c r="N74" s="117">
        <f t="shared" si="14"/>
        <v>1</v>
      </c>
      <c r="O74" s="141">
        <f t="shared" si="15"/>
        <v>0</v>
      </c>
      <c r="P74" s="142">
        <f t="shared" si="5"/>
        <v>75000</v>
      </c>
      <c r="Q74" s="10"/>
      <c r="R74" s="145">
        <f t="shared" si="6"/>
        <v>17.758318824131216</v>
      </c>
      <c r="S74" s="117">
        <f t="shared" si="7"/>
        <v>0</v>
      </c>
      <c r="T74" s="117">
        <f t="shared" si="16"/>
        <v>1</v>
      </c>
      <c r="U74" s="145">
        <f t="shared" si="17"/>
        <v>0</v>
      </c>
      <c r="V74" s="137">
        <f t="shared" si="8"/>
        <v>15</v>
      </c>
      <c r="W74" s="137">
        <f t="shared" si="9"/>
        <v>30</v>
      </c>
      <c r="Z74" s="141">
        <f>IF(capacity&lt;B73+pluie!E66*catch/1000-F74*dinm*1000,-capacity+B73+pluie!E66*catch/1000-F74*dinm*1000,0)</f>
        <v>0</v>
      </c>
      <c r="AA74" s="141">
        <f t="shared" si="18"/>
        <v>0</v>
      </c>
      <c r="AB74" s="141">
        <f t="shared" si="19"/>
        <v>0</v>
      </c>
      <c r="AC74" s="10"/>
    </row>
    <row r="75" spans="1:29" s="7" customFormat="1" ht="11.25">
      <c r="A75" s="124">
        <v>65</v>
      </c>
      <c r="B75" s="141">
        <f>MIN(capacity,B74+pluie!E67*catch/1000-F75*dinm*1000)</f>
        <v>930661.3249469439</v>
      </c>
      <c r="C75" s="145">
        <f t="shared" si="0"/>
        <v>0.9306613249469439</v>
      </c>
      <c r="D75" s="140">
        <v>0.5</v>
      </c>
      <c r="E75" s="122">
        <f t="shared" si="10"/>
        <v>7.5</v>
      </c>
      <c r="F75" s="122">
        <f t="shared" si="11"/>
        <v>7.5</v>
      </c>
      <c r="G75" s="117">
        <f t="shared" si="1"/>
        <v>0</v>
      </c>
      <c r="H75" s="117">
        <f t="shared" si="2"/>
        <v>0</v>
      </c>
      <c r="I75" s="122">
        <f t="shared" si="12"/>
        <v>0</v>
      </c>
      <c r="J75" s="138">
        <f t="shared" si="3"/>
        <v>5.625</v>
      </c>
      <c r="K75" s="10"/>
      <c r="L75" s="141">
        <f t="shared" si="4"/>
        <v>96470.78961773579</v>
      </c>
      <c r="M75" s="117">
        <f t="shared" si="13"/>
        <v>0</v>
      </c>
      <c r="N75" s="117">
        <f t="shared" si="14"/>
        <v>0</v>
      </c>
      <c r="O75" s="141">
        <f t="shared" si="15"/>
        <v>0</v>
      </c>
      <c r="P75" s="142">
        <f t="shared" si="5"/>
        <v>75000</v>
      </c>
      <c r="Q75" s="10"/>
      <c r="R75" s="145">
        <f t="shared" si="6"/>
        <v>19.294157923547157</v>
      </c>
      <c r="S75" s="117">
        <f t="shared" si="7"/>
        <v>0</v>
      </c>
      <c r="T75" s="117">
        <f t="shared" si="16"/>
        <v>0</v>
      </c>
      <c r="U75" s="145">
        <f t="shared" si="17"/>
        <v>0</v>
      </c>
      <c r="V75" s="137">
        <f t="shared" si="8"/>
        <v>15</v>
      </c>
      <c r="W75" s="137">
        <f t="shared" si="9"/>
        <v>30</v>
      </c>
      <c r="Z75" s="141">
        <f>IF(capacity&lt;B74+pluie!E67*catch/1000-F75*dinm*1000,-capacity+B74+pluie!E67*catch/1000-F75*dinm*1000,0)</f>
        <v>0</v>
      </c>
      <c r="AA75" s="141">
        <f t="shared" si="18"/>
        <v>0</v>
      </c>
      <c r="AB75" s="141">
        <f t="shared" si="19"/>
        <v>0</v>
      </c>
      <c r="AC75" s="10"/>
    </row>
    <row r="76" spans="1:29" s="7" customFormat="1" ht="11.25">
      <c r="A76" s="124">
        <v>66</v>
      </c>
      <c r="B76" s="141">
        <f>MIN(capacity,B75+pluie!E68*catch/1000-F76*dinm*1000)</f>
        <v>702536.3249469439</v>
      </c>
      <c r="C76" s="145">
        <f aca="true" t="shared" si="20" ref="C76:C130">B76/capacity</f>
        <v>0.702536324946944</v>
      </c>
      <c r="D76" s="140">
        <v>0.5</v>
      </c>
      <c r="E76" s="122">
        <f t="shared" si="10"/>
        <v>7.5</v>
      </c>
      <c r="F76" s="122">
        <f t="shared" si="11"/>
        <v>7.5</v>
      </c>
      <c r="G76" s="117">
        <f aca="true" t="shared" si="21" ref="G76:G129">IF(F76&lt;target*fail,1,0)</f>
        <v>0</v>
      </c>
      <c r="H76" s="117">
        <f aca="true" t="shared" si="22" ref="H76:H129">IF(AND(G76=0,G75=1),1,0)</f>
        <v>0</v>
      </c>
      <c r="I76" s="122">
        <f aca="true" t="shared" si="23" ref="I76:I129">target-F76</f>
        <v>0</v>
      </c>
      <c r="J76" s="138">
        <f aca="true" t="shared" si="24" ref="J76:J130">target*fail</f>
        <v>5.625</v>
      </c>
      <c r="K76" s="10"/>
      <c r="L76" s="141">
        <f aca="true" t="shared" si="25" ref="L76:L130">IF(B76&gt;0,100*B76^0.5,1)</f>
        <v>83817.44000784944</v>
      </c>
      <c r="M76" s="117">
        <f aca="true" t="shared" si="26" ref="M76:M130">IF(L76&lt;area,1,0)</f>
        <v>0</v>
      </c>
      <c r="N76" s="117">
        <f aca="true" t="shared" si="27" ref="N76:N130">IF(AND(M76=0,M75=1),1,0)</f>
        <v>0</v>
      </c>
      <c r="O76" s="141">
        <f aca="true" t="shared" si="28" ref="O76:O130">MAX(0,area-L76)</f>
        <v>0</v>
      </c>
      <c r="P76" s="142">
        <f aca="true" t="shared" si="29" ref="P76:P130">area</f>
        <v>75000</v>
      </c>
      <c r="Q76" s="10"/>
      <c r="R76" s="145">
        <f aca="true" t="shared" si="30" ref="R76:R129">(B76/(5*length))^0.5</f>
        <v>16.763488001569886</v>
      </c>
      <c r="S76" s="117">
        <f aca="true" t="shared" si="31" ref="S76:S129">IF(OR(R76&lt;depthmin,R76&gt;depthmax),1,0)</f>
        <v>0</v>
      </c>
      <c r="T76" s="117">
        <f t="shared" si="16"/>
        <v>0</v>
      </c>
      <c r="U76" s="145">
        <f t="shared" si="17"/>
        <v>0</v>
      </c>
      <c r="V76" s="137">
        <f aca="true" t="shared" si="32" ref="V76:V130">depthmin</f>
        <v>15</v>
      </c>
      <c r="W76" s="137">
        <f aca="true" t="shared" si="33" ref="W76:W130">depthmax</f>
        <v>30</v>
      </c>
      <c r="Z76" s="141">
        <f>IF(capacity&lt;B75+pluie!E68*catch/1000-F76*dinm*1000,-capacity+B75+pluie!E68*catch/1000-F76*dinm*1000,0)</f>
        <v>0</v>
      </c>
      <c r="AA76" s="141">
        <f t="shared" si="18"/>
        <v>0</v>
      </c>
      <c r="AB76" s="141">
        <f t="shared" si="19"/>
        <v>0</v>
      </c>
      <c r="AC76" s="10"/>
    </row>
    <row r="77" spans="1:29" s="7" customFormat="1" ht="11.25">
      <c r="A77" s="124">
        <v>67</v>
      </c>
      <c r="B77" s="141">
        <f>MIN(capacity,B76+pluie!E69*catch/1000-F77*dinm*1000)</f>
        <v>721356.0367162365</v>
      </c>
      <c r="C77" s="145">
        <f t="shared" si="20"/>
        <v>0.7213560367162365</v>
      </c>
      <c r="D77" s="140">
        <v>0.5</v>
      </c>
      <c r="E77" s="122">
        <f aca="true" t="shared" si="34" ref="E77:E129">IF(C76&gt;warning,target,target/2)</f>
        <v>7.5</v>
      </c>
      <c r="F77" s="122">
        <f aca="true" t="shared" si="35" ref="F77:F129">MIN(E77,B76/1000/dinm)</f>
        <v>7.5</v>
      </c>
      <c r="G77" s="117">
        <f t="shared" si="21"/>
        <v>0</v>
      </c>
      <c r="H77" s="117">
        <f t="shared" si="22"/>
        <v>0</v>
      </c>
      <c r="I77" s="122">
        <f t="shared" si="23"/>
        <v>0</v>
      </c>
      <c r="J77" s="138">
        <f t="shared" si="24"/>
        <v>5.625</v>
      </c>
      <c r="K77" s="10"/>
      <c r="L77" s="141">
        <f t="shared" si="25"/>
        <v>84932.68138450808</v>
      </c>
      <c r="M77" s="117">
        <f t="shared" si="26"/>
        <v>0</v>
      </c>
      <c r="N77" s="117">
        <f t="shared" si="27"/>
        <v>0</v>
      </c>
      <c r="O77" s="141">
        <f t="shared" si="28"/>
        <v>0</v>
      </c>
      <c r="P77" s="142">
        <f t="shared" si="29"/>
        <v>75000</v>
      </c>
      <c r="Q77" s="10"/>
      <c r="R77" s="145">
        <f t="shared" si="30"/>
        <v>16.986536276901617</v>
      </c>
      <c r="S77" s="117">
        <f t="shared" si="31"/>
        <v>0</v>
      </c>
      <c r="T77" s="117">
        <f aca="true" t="shared" si="36" ref="T77:T129">IF(AND(S77=0,S76=1),1,0)</f>
        <v>0</v>
      </c>
      <c r="U77" s="145">
        <f aca="true" t="shared" si="37" ref="U77:U129">IF(S77=1,IF(R77&lt;depthmin,ABS(depthmin-R77),ABS(depthmax-R77)),0)</f>
        <v>0</v>
      </c>
      <c r="V77" s="137">
        <f t="shared" si="32"/>
        <v>15</v>
      </c>
      <c r="W77" s="137">
        <f t="shared" si="33"/>
        <v>30</v>
      </c>
      <c r="Z77" s="141">
        <f>IF(capacity&lt;B76+pluie!E69*catch/1000-F77*dinm*1000,-capacity+B76+pluie!E69*catch/1000-F77*dinm*1000,0)</f>
        <v>0</v>
      </c>
      <c r="AA77" s="141">
        <f aca="true" t="shared" si="38" ref="AA77:AA130">IF(Z77&gt;0,1,0)</f>
        <v>0</v>
      </c>
      <c r="AB77" s="141">
        <f aca="true" t="shared" si="39" ref="AB77:AB130">IF(AND(AA77=0,AA76=1),1,0)</f>
        <v>0</v>
      </c>
      <c r="AC77" s="10"/>
    </row>
    <row r="78" spans="1:29" s="7" customFormat="1" ht="11.25">
      <c r="A78" s="124">
        <v>68</v>
      </c>
      <c r="B78" s="141">
        <f>MIN(capacity,B77+pluie!E70*catch/1000-F78*dinm*1000)</f>
        <v>775247.4005000924</v>
      </c>
      <c r="C78" s="145">
        <f t="shared" si="20"/>
        <v>0.7752474005000924</v>
      </c>
      <c r="D78" s="140">
        <v>0.5</v>
      </c>
      <c r="E78" s="122">
        <f t="shared" si="34"/>
        <v>7.5</v>
      </c>
      <c r="F78" s="122">
        <f t="shared" si="35"/>
        <v>7.5</v>
      </c>
      <c r="G78" s="117">
        <f t="shared" si="21"/>
        <v>0</v>
      </c>
      <c r="H78" s="117">
        <f t="shared" si="22"/>
        <v>0</v>
      </c>
      <c r="I78" s="122">
        <f t="shared" si="23"/>
        <v>0</v>
      </c>
      <c r="J78" s="138">
        <f t="shared" si="24"/>
        <v>5.625</v>
      </c>
      <c r="K78" s="10"/>
      <c r="L78" s="141">
        <f t="shared" si="25"/>
        <v>88048.13459126164</v>
      </c>
      <c r="M78" s="117">
        <f t="shared" si="26"/>
        <v>0</v>
      </c>
      <c r="N78" s="117">
        <f t="shared" si="27"/>
        <v>0</v>
      </c>
      <c r="O78" s="141">
        <f t="shared" si="28"/>
        <v>0</v>
      </c>
      <c r="P78" s="142">
        <f t="shared" si="29"/>
        <v>75000</v>
      </c>
      <c r="Q78" s="10"/>
      <c r="R78" s="145">
        <f t="shared" si="30"/>
        <v>17.609626918252328</v>
      </c>
      <c r="S78" s="117">
        <f t="shared" si="31"/>
        <v>0</v>
      </c>
      <c r="T78" s="117">
        <f t="shared" si="36"/>
        <v>0</v>
      </c>
      <c r="U78" s="145">
        <f t="shared" si="37"/>
        <v>0</v>
      </c>
      <c r="V78" s="137">
        <f t="shared" si="32"/>
        <v>15</v>
      </c>
      <c r="W78" s="137">
        <f t="shared" si="33"/>
        <v>30</v>
      </c>
      <c r="Z78" s="141">
        <f>IF(capacity&lt;B77+pluie!E70*catch/1000-F78*dinm*1000,-capacity+B77+pluie!E70*catch/1000-F78*dinm*1000,0)</f>
        <v>0</v>
      </c>
      <c r="AA78" s="141">
        <f t="shared" si="38"/>
        <v>0</v>
      </c>
      <c r="AB78" s="141">
        <f t="shared" si="39"/>
        <v>0</v>
      </c>
      <c r="AC78" s="10"/>
    </row>
    <row r="79" spans="1:29" s="7" customFormat="1" ht="11.25">
      <c r="A79" s="124">
        <v>69</v>
      </c>
      <c r="B79" s="141">
        <f>MIN(capacity,B78+pluie!E71*catch/1000-F79*dinm*1000)</f>
        <v>1000000</v>
      </c>
      <c r="C79" s="145">
        <f t="shared" si="20"/>
        <v>1</v>
      </c>
      <c r="D79" s="140">
        <v>0.5</v>
      </c>
      <c r="E79" s="122">
        <f t="shared" si="34"/>
        <v>7.5</v>
      </c>
      <c r="F79" s="122">
        <f t="shared" si="35"/>
        <v>7.5</v>
      </c>
      <c r="G79" s="117">
        <f t="shared" si="21"/>
        <v>0</v>
      </c>
      <c r="H79" s="117">
        <f t="shared" si="22"/>
        <v>0</v>
      </c>
      <c r="I79" s="122">
        <f t="shared" si="23"/>
        <v>0</v>
      </c>
      <c r="J79" s="138">
        <f t="shared" si="24"/>
        <v>5.625</v>
      </c>
      <c r="K79" s="10"/>
      <c r="L79" s="141">
        <f t="shared" si="25"/>
        <v>100000</v>
      </c>
      <c r="M79" s="117">
        <f t="shared" si="26"/>
        <v>0</v>
      </c>
      <c r="N79" s="117">
        <f t="shared" si="27"/>
        <v>0</v>
      </c>
      <c r="O79" s="141">
        <f t="shared" si="28"/>
        <v>0</v>
      </c>
      <c r="P79" s="142">
        <f t="shared" si="29"/>
        <v>75000</v>
      </c>
      <c r="Q79" s="10"/>
      <c r="R79" s="145">
        <f t="shared" si="30"/>
        <v>20</v>
      </c>
      <c r="S79" s="117">
        <f t="shared" si="31"/>
        <v>0</v>
      </c>
      <c r="T79" s="117">
        <f t="shared" si="36"/>
        <v>0</v>
      </c>
      <c r="U79" s="145">
        <f t="shared" si="37"/>
        <v>0</v>
      </c>
      <c r="V79" s="137">
        <f t="shared" si="32"/>
        <v>15</v>
      </c>
      <c r="W79" s="137">
        <f t="shared" si="33"/>
        <v>30</v>
      </c>
      <c r="Z79" s="141">
        <f>IF(capacity&lt;B78+pluie!E71*catch/1000-F79*dinm*1000,-capacity+B78+pluie!E71*catch/1000-F79*dinm*1000,0)</f>
        <v>573379.4154191053</v>
      </c>
      <c r="AA79" s="141">
        <f t="shared" si="38"/>
        <v>1</v>
      </c>
      <c r="AB79" s="141">
        <f t="shared" si="39"/>
        <v>0</v>
      </c>
      <c r="AC79" s="10"/>
    </row>
    <row r="80" spans="1:29" s="7" customFormat="1" ht="11.25">
      <c r="A80" s="124">
        <v>70</v>
      </c>
      <c r="B80" s="141">
        <f>MIN(capacity,B79+pluie!E72*catch/1000-F80*dinm*1000)</f>
        <v>902592.3588945654</v>
      </c>
      <c r="C80" s="145">
        <f t="shared" si="20"/>
        <v>0.9025923588945653</v>
      </c>
      <c r="D80" s="140">
        <v>0.5</v>
      </c>
      <c r="E80" s="122">
        <f t="shared" si="34"/>
        <v>7.5</v>
      </c>
      <c r="F80" s="122">
        <f t="shared" si="35"/>
        <v>7.5</v>
      </c>
      <c r="G80" s="117">
        <f t="shared" si="21"/>
        <v>0</v>
      </c>
      <c r="H80" s="117">
        <f t="shared" si="22"/>
        <v>0</v>
      </c>
      <c r="I80" s="122">
        <f t="shared" si="23"/>
        <v>0</v>
      </c>
      <c r="J80" s="138">
        <f t="shared" si="24"/>
        <v>5.625</v>
      </c>
      <c r="K80" s="10"/>
      <c r="L80" s="141">
        <f t="shared" si="25"/>
        <v>95004.86087009261</v>
      </c>
      <c r="M80" s="117">
        <f t="shared" si="26"/>
        <v>0</v>
      </c>
      <c r="N80" s="117">
        <f t="shared" si="27"/>
        <v>0</v>
      </c>
      <c r="O80" s="141">
        <f t="shared" si="28"/>
        <v>0</v>
      </c>
      <c r="P80" s="142">
        <f t="shared" si="29"/>
        <v>75000</v>
      </c>
      <c r="Q80" s="10"/>
      <c r="R80" s="145">
        <f t="shared" si="30"/>
        <v>19.00097217401852</v>
      </c>
      <c r="S80" s="117">
        <f t="shared" si="31"/>
        <v>0</v>
      </c>
      <c r="T80" s="117">
        <f t="shared" si="36"/>
        <v>0</v>
      </c>
      <c r="U80" s="145">
        <f t="shared" si="37"/>
        <v>0</v>
      </c>
      <c r="V80" s="137">
        <f t="shared" si="32"/>
        <v>15</v>
      </c>
      <c r="W80" s="137">
        <f t="shared" si="33"/>
        <v>30</v>
      </c>
      <c r="Z80" s="141">
        <f>IF(capacity&lt;B79+pluie!E72*catch/1000-F80*dinm*1000,-capacity+B79+pluie!E72*catch/1000-F80*dinm*1000,0)</f>
        <v>0</v>
      </c>
      <c r="AA80" s="141">
        <f t="shared" si="38"/>
        <v>0</v>
      </c>
      <c r="AB80" s="141">
        <f t="shared" si="39"/>
        <v>1</v>
      </c>
      <c r="AC80" s="10"/>
    </row>
    <row r="81" spans="1:29" s="7" customFormat="1" ht="11.25">
      <c r="A81" s="124">
        <v>71</v>
      </c>
      <c r="B81" s="141">
        <f>MIN(capacity,B80+pluie!E73*catch/1000-F81*dinm*1000)</f>
        <v>771699.9124507243</v>
      </c>
      <c r="C81" s="145">
        <f t="shared" si="20"/>
        <v>0.7716999124507243</v>
      </c>
      <c r="D81" s="140">
        <v>0.5</v>
      </c>
      <c r="E81" s="122">
        <f t="shared" si="34"/>
        <v>7.5</v>
      </c>
      <c r="F81" s="122">
        <f t="shared" si="35"/>
        <v>7.5</v>
      </c>
      <c r="G81" s="117">
        <f t="shared" si="21"/>
        <v>0</v>
      </c>
      <c r="H81" s="117">
        <f t="shared" si="22"/>
        <v>0</v>
      </c>
      <c r="I81" s="122">
        <f t="shared" si="23"/>
        <v>0</v>
      </c>
      <c r="J81" s="138">
        <f t="shared" si="24"/>
        <v>5.625</v>
      </c>
      <c r="K81" s="10"/>
      <c r="L81" s="141">
        <f t="shared" si="25"/>
        <v>87846.45197449492</v>
      </c>
      <c r="M81" s="117">
        <f t="shared" si="26"/>
        <v>0</v>
      </c>
      <c r="N81" s="117">
        <f t="shared" si="27"/>
        <v>0</v>
      </c>
      <c r="O81" s="141">
        <f t="shared" si="28"/>
        <v>0</v>
      </c>
      <c r="P81" s="142">
        <f t="shared" si="29"/>
        <v>75000</v>
      </c>
      <c r="Q81" s="10"/>
      <c r="R81" s="145">
        <f t="shared" si="30"/>
        <v>17.569290394898985</v>
      </c>
      <c r="S81" s="117">
        <f t="shared" si="31"/>
        <v>0</v>
      </c>
      <c r="T81" s="117">
        <f t="shared" si="36"/>
        <v>0</v>
      </c>
      <c r="U81" s="145">
        <f t="shared" si="37"/>
        <v>0</v>
      </c>
      <c r="V81" s="137">
        <f t="shared" si="32"/>
        <v>15</v>
      </c>
      <c r="W81" s="137">
        <f t="shared" si="33"/>
        <v>30</v>
      </c>
      <c r="Z81" s="141">
        <f>IF(capacity&lt;B80+pluie!E73*catch/1000-F81*dinm*1000,-capacity+B80+pluie!E73*catch/1000-F81*dinm*1000,0)</f>
        <v>0</v>
      </c>
      <c r="AA81" s="141">
        <f t="shared" si="38"/>
        <v>0</v>
      </c>
      <c r="AB81" s="141">
        <f t="shared" si="39"/>
        <v>0</v>
      </c>
      <c r="AC81" s="10"/>
    </row>
    <row r="82" spans="1:29" s="7" customFormat="1" ht="11.25">
      <c r="A82" s="124">
        <v>72</v>
      </c>
      <c r="B82" s="141">
        <f>MIN(capacity,B81+pluie!E74*catch/1000-F82*dinm*1000)</f>
        <v>1000000</v>
      </c>
      <c r="C82" s="145">
        <f t="shared" si="20"/>
        <v>1</v>
      </c>
      <c r="D82" s="140">
        <v>0.5</v>
      </c>
      <c r="E82" s="122">
        <f t="shared" si="34"/>
        <v>7.5</v>
      </c>
      <c r="F82" s="122">
        <f t="shared" si="35"/>
        <v>7.5</v>
      </c>
      <c r="G82" s="117">
        <f t="shared" si="21"/>
        <v>0</v>
      </c>
      <c r="H82" s="117">
        <f t="shared" si="22"/>
        <v>0</v>
      </c>
      <c r="I82" s="122">
        <f t="shared" si="23"/>
        <v>0</v>
      </c>
      <c r="J82" s="138">
        <f t="shared" si="24"/>
        <v>5.625</v>
      </c>
      <c r="K82" s="10"/>
      <c r="L82" s="141">
        <f t="shared" si="25"/>
        <v>100000</v>
      </c>
      <c r="M82" s="117">
        <f t="shared" si="26"/>
        <v>0</v>
      </c>
      <c r="N82" s="117">
        <f t="shared" si="27"/>
        <v>0</v>
      </c>
      <c r="O82" s="141">
        <f t="shared" si="28"/>
        <v>0</v>
      </c>
      <c r="P82" s="142">
        <f t="shared" si="29"/>
        <v>75000</v>
      </c>
      <c r="Q82" s="10"/>
      <c r="R82" s="145">
        <f t="shared" si="30"/>
        <v>20</v>
      </c>
      <c r="S82" s="117">
        <f t="shared" si="31"/>
        <v>0</v>
      </c>
      <c r="T82" s="117">
        <f t="shared" si="36"/>
        <v>0</v>
      </c>
      <c r="U82" s="145">
        <f t="shared" si="37"/>
        <v>0</v>
      </c>
      <c r="V82" s="137">
        <f t="shared" si="32"/>
        <v>15</v>
      </c>
      <c r="W82" s="137">
        <f t="shared" si="33"/>
        <v>30</v>
      </c>
      <c r="Z82" s="141">
        <f>IF(capacity&lt;B81+pluie!E74*catch/1000-F82*dinm*1000,-capacity+B81+pluie!E74*catch/1000-F82*dinm*1000,0)</f>
        <v>2237354.7142168256</v>
      </c>
      <c r="AA82" s="141">
        <f t="shared" si="38"/>
        <v>1</v>
      </c>
      <c r="AB82" s="141">
        <f t="shared" si="39"/>
        <v>0</v>
      </c>
      <c r="AC82" s="155"/>
    </row>
    <row r="83" spans="1:29" s="7" customFormat="1" ht="11.25">
      <c r="A83" s="124">
        <v>73</v>
      </c>
      <c r="B83" s="141">
        <f>MIN(capacity,B82+pluie!E75*catch/1000-F83*dinm*1000)</f>
        <v>1000000</v>
      </c>
      <c r="C83" s="145">
        <f t="shared" si="20"/>
        <v>1</v>
      </c>
      <c r="D83" s="140">
        <v>0.5</v>
      </c>
      <c r="E83" s="122">
        <f t="shared" si="34"/>
        <v>7.5</v>
      </c>
      <c r="F83" s="122">
        <f t="shared" si="35"/>
        <v>7.5</v>
      </c>
      <c r="G83" s="117">
        <f t="shared" si="21"/>
        <v>0</v>
      </c>
      <c r="H83" s="117">
        <f t="shared" si="22"/>
        <v>0</v>
      </c>
      <c r="I83" s="122">
        <f t="shared" si="23"/>
        <v>0</v>
      </c>
      <c r="J83" s="138">
        <f t="shared" si="24"/>
        <v>5.625</v>
      </c>
      <c r="K83" s="10"/>
      <c r="L83" s="141">
        <f t="shared" si="25"/>
        <v>100000</v>
      </c>
      <c r="M83" s="117">
        <f t="shared" si="26"/>
        <v>0</v>
      </c>
      <c r="N83" s="117">
        <f t="shared" si="27"/>
        <v>0</v>
      </c>
      <c r="O83" s="141">
        <f t="shared" si="28"/>
        <v>0</v>
      </c>
      <c r="P83" s="142">
        <f t="shared" si="29"/>
        <v>75000</v>
      </c>
      <c r="Q83" s="10"/>
      <c r="R83" s="145">
        <f t="shared" si="30"/>
        <v>20</v>
      </c>
      <c r="S83" s="117">
        <f t="shared" si="31"/>
        <v>0</v>
      </c>
      <c r="T83" s="117">
        <f t="shared" si="36"/>
        <v>0</v>
      </c>
      <c r="U83" s="145">
        <f t="shared" si="37"/>
        <v>0</v>
      </c>
      <c r="V83" s="137">
        <f t="shared" si="32"/>
        <v>15</v>
      </c>
      <c r="W83" s="137">
        <f t="shared" si="33"/>
        <v>30</v>
      </c>
      <c r="Z83" s="141">
        <f>IF(capacity&lt;B82+pluie!E75*catch/1000-F83*dinm*1000,-capacity+B82+pluie!E75*catch/1000-F83*dinm*1000,0)</f>
        <v>1459792.9532780792</v>
      </c>
      <c r="AA83" s="141">
        <f t="shared" si="38"/>
        <v>1</v>
      </c>
      <c r="AB83" s="141">
        <f t="shared" si="39"/>
        <v>0</v>
      </c>
      <c r="AC83" s="10"/>
    </row>
    <row r="84" spans="1:29" s="7" customFormat="1" ht="11.25">
      <c r="A84" s="124">
        <v>74</v>
      </c>
      <c r="B84" s="141">
        <f>MIN(capacity,B83+pluie!E76*catch/1000-F84*dinm*1000)</f>
        <v>1000000</v>
      </c>
      <c r="C84" s="145">
        <f t="shared" si="20"/>
        <v>1</v>
      </c>
      <c r="D84" s="140">
        <v>0.5</v>
      </c>
      <c r="E84" s="122">
        <f t="shared" si="34"/>
        <v>7.5</v>
      </c>
      <c r="F84" s="122">
        <f t="shared" si="35"/>
        <v>7.5</v>
      </c>
      <c r="G84" s="117">
        <f t="shared" si="21"/>
        <v>0</v>
      </c>
      <c r="H84" s="117">
        <f t="shared" si="22"/>
        <v>0</v>
      </c>
      <c r="I84" s="122">
        <f t="shared" si="23"/>
        <v>0</v>
      </c>
      <c r="J84" s="138">
        <f t="shared" si="24"/>
        <v>5.625</v>
      </c>
      <c r="K84" s="10"/>
      <c r="L84" s="141">
        <f t="shared" si="25"/>
        <v>100000</v>
      </c>
      <c r="M84" s="117">
        <f t="shared" si="26"/>
        <v>0</v>
      </c>
      <c r="N84" s="117">
        <f t="shared" si="27"/>
        <v>0</v>
      </c>
      <c r="O84" s="141">
        <f t="shared" si="28"/>
        <v>0</v>
      </c>
      <c r="P84" s="142">
        <f t="shared" si="29"/>
        <v>75000</v>
      </c>
      <c r="Q84" s="10"/>
      <c r="R84" s="145">
        <f t="shared" si="30"/>
        <v>20</v>
      </c>
      <c r="S84" s="117">
        <f t="shared" si="31"/>
        <v>0</v>
      </c>
      <c r="T84" s="117">
        <f t="shared" si="36"/>
        <v>0</v>
      </c>
      <c r="U84" s="145">
        <f t="shared" si="37"/>
        <v>0</v>
      </c>
      <c r="V84" s="137">
        <f t="shared" si="32"/>
        <v>15</v>
      </c>
      <c r="W84" s="137">
        <f t="shared" si="33"/>
        <v>30</v>
      </c>
      <c r="Z84" s="141">
        <f>IF(capacity&lt;B83+pluie!E76*catch/1000-F84*dinm*1000,-capacity+B83+pluie!E76*catch/1000-F84*dinm*1000,0)</f>
        <v>159483.39370178874</v>
      </c>
      <c r="AA84" s="141">
        <f t="shared" si="38"/>
        <v>1</v>
      </c>
      <c r="AB84" s="141">
        <f t="shared" si="39"/>
        <v>0</v>
      </c>
      <c r="AC84" s="10"/>
    </row>
    <row r="85" spans="1:29" s="7" customFormat="1" ht="11.25">
      <c r="A85" s="124">
        <v>75</v>
      </c>
      <c r="B85" s="141">
        <f>MIN(capacity,B84+pluie!E77*catch/1000-F85*dinm*1000)</f>
        <v>1000000</v>
      </c>
      <c r="C85" s="145">
        <f t="shared" si="20"/>
        <v>1</v>
      </c>
      <c r="D85" s="140">
        <v>0.5</v>
      </c>
      <c r="E85" s="122">
        <f t="shared" si="34"/>
        <v>7.5</v>
      </c>
      <c r="F85" s="122">
        <f t="shared" si="35"/>
        <v>7.5</v>
      </c>
      <c r="G85" s="117">
        <f t="shared" si="21"/>
        <v>0</v>
      </c>
      <c r="H85" s="117">
        <f t="shared" si="22"/>
        <v>0</v>
      </c>
      <c r="I85" s="122">
        <f t="shared" si="23"/>
        <v>0</v>
      </c>
      <c r="J85" s="138">
        <f t="shared" si="24"/>
        <v>5.625</v>
      </c>
      <c r="K85" s="10"/>
      <c r="L85" s="141">
        <f t="shared" si="25"/>
        <v>100000</v>
      </c>
      <c r="M85" s="117">
        <f t="shared" si="26"/>
        <v>0</v>
      </c>
      <c r="N85" s="117">
        <f t="shared" si="27"/>
        <v>0</v>
      </c>
      <c r="O85" s="141">
        <f t="shared" si="28"/>
        <v>0</v>
      </c>
      <c r="P85" s="142">
        <f t="shared" si="29"/>
        <v>75000</v>
      </c>
      <c r="Q85" s="10"/>
      <c r="R85" s="145">
        <f t="shared" si="30"/>
        <v>20</v>
      </c>
      <c r="S85" s="117">
        <f t="shared" si="31"/>
        <v>0</v>
      </c>
      <c r="T85" s="117">
        <f t="shared" si="36"/>
        <v>0</v>
      </c>
      <c r="U85" s="145">
        <f t="shared" si="37"/>
        <v>0</v>
      </c>
      <c r="V85" s="137">
        <f t="shared" si="32"/>
        <v>15</v>
      </c>
      <c r="W85" s="137">
        <f t="shared" si="33"/>
        <v>30</v>
      </c>
      <c r="Z85" s="141">
        <f>IF(capacity&lt;B84+pluie!E77*catch/1000-F85*dinm*1000,-capacity+B84+pluie!E77*catch/1000-F85*dinm*1000,0)</f>
        <v>990105.2813512671</v>
      </c>
      <c r="AA85" s="141">
        <f t="shared" si="38"/>
        <v>1</v>
      </c>
      <c r="AB85" s="141">
        <f t="shared" si="39"/>
        <v>0</v>
      </c>
      <c r="AC85" s="10"/>
    </row>
    <row r="86" spans="1:29" s="7" customFormat="1" ht="11.25">
      <c r="A86" s="124">
        <v>76</v>
      </c>
      <c r="B86" s="141">
        <f>MIN(capacity,B85+pluie!E78*catch/1000-F86*dinm*1000)</f>
        <v>1000000</v>
      </c>
      <c r="C86" s="145">
        <f t="shared" si="20"/>
        <v>1</v>
      </c>
      <c r="D86" s="140">
        <v>0.5</v>
      </c>
      <c r="E86" s="122">
        <f t="shared" si="34"/>
        <v>7.5</v>
      </c>
      <c r="F86" s="122">
        <f t="shared" si="35"/>
        <v>7.5</v>
      </c>
      <c r="G86" s="117">
        <f t="shared" si="21"/>
        <v>0</v>
      </c>
      <c r="H86" s="117">
        <f t="shared" si="22"/>
        <v>0</v>
      </c>
      <c r="I86" s="122">
        <f t="shared" si="23"/>
        <v>0</v>
      </c>
      <c r="J86" s="138">
        <f t="shared" si="24"/>
        <v>5.625</v>
      </c>
      <c r="K86" s="10"/>
      <c r="L86" s="141">
        <f t="shared" si="25"/>
        <v>100000</v>
      </c>
      <c r="M86" s="117">
        <f t="shared" si="26"/>
        <v>0</v>
      </c>
      <c r="N86" s="117">
        <f t="shared" si="27"/>
        <v>0</v>
      </c>
      <c r="O86" s="141">
        <f t="shared" si="28"/>
        <v>0</v>
      </c>
      <c r="P86" s="142">
        <f t="shared" si="29"/>
        <v>75000</v>
      </c>
      <c r="Q86" s="10"/>
      <c r="R86" s="145">
        <f t="shared" si="30"/>
        <v>20</v>
      </c>
      <c r="S86" s="117">
        <f t="shared" si="31"/>
        <v>0</v>
      </c>
      <c r="T86" s="117">
        <f t="shared" si="36"/>
        <v>0</v>
      </c>
      <c r="U86" s="145">
        <f t="shared" si="37"/>
        <v>0</v>
      </c>
      <c r="V86" s="137">
        <f t="shared" si="32"/>
        <v>15</v>
      </c>
      <c r="W86" s="137">
        <f t="shared" si="33"/>
        <v>30</v>
      </c>
      <c r="Z86" s="141">
        <f>IF(capacity&lt;B85+pluie!E78*catch/1000-F86*dinm*1000,-capacity+B85+pluie!E78*catch/1000-F86*dinm*1000,0)</f>
        <v>167644.71864873264</v>
      </c>
      <c r="AA86" s="141">
        <f t="shared" si="38"/>
        <v>1</v>
      </c>
      <c r="AB86" s="141">
        <f t="shared" si="39"/>
        <v>0</v>
      </c>
      <c r="AC86" s="10"/>
    </row>
    <row r="87" spans="1:29" s="7" customFormat="1" ht="11.25">
      <c r="A87" s="124">
        <v>77</v>
      </c>
      <c r="B87" s="141">
        <f>MIN(capacity,B86+pluie!E79*catch/1000-F87*dinm*1000)</f>
        <v>771875</v>
      </c>
      <c r="C87" s="145">
        <f t="shared" si="20"/>
        <v>0.771875</v>
      </c>
      <c r="D87" s="140">
        <v>0.5</v>
      </c>
      <c r="E87" s="122">
        <f t="shared" si="34"/>
        <v>7.5</v>
      </c>
      <c r="F87" s="122">
        <f t="shared" si="35"/>
        <v>7.5</v>
      </c>
      <c r="G87" s="117">
        <f t="shared" si="21"/>
        <v>0</v>
      </c>
      <c r="H87" s="117">
        <f t="shared" si="22"/>
        <v>0</v>
      </c>
      <c r="I87" s="122">
        <f t="shared" si="23"/>
        <v>0</v>
      </c>
      <c r="J87" s="138">
        <f t="shared" si="24"/>
        <v>5.625</v>
      </c>
      <c r="K87" s="10"/>
      <c r="L87" s="141">
        <f t="shared" si="25"/>
        <v>87856.4169540279</v>
      </c>
      <c r="M87" s="117">
        <f t="shared" si="26"/>
        <v>0</v>
      </c>
      <c r="N87" s="117">
        <f t="shared" si="27"/>
        <v>0</v>
      </c>
      <c r="O87" s="141">
        <f t="shared" si="28"/>
        <v>0</v>
      </c>
      <c r="P87" s="142">
        <f t="shared" si="29"/>
        <v>75000</v>
      </c>
      <c r="Q87" s="10"/>
      <c r="R87" s="145">
        <f t="shared" si="30"/>
        <v>17.57128339080558</v>
      </c>
      <c r="S87" s="117">
        <f t="shared" si="31"/>
        <v>0</v>
      </c>
      <c r="T87" s="117">
        <f t="shared" si="36"/>
        <v>0</v>
      </c>
      <c r="U87" s="145">
        <f t="shared" si="37"/>
        <v>0</v>
      </c>
      <c r="V87" s="137">
        <f t="shared" si="32"/>
        <v>15</v>
      </c>
      <c r="W87" s="137">
        <f t="shared" si="33"/>
        <v>30</v>
      </c>
      <c r="Z87" s="141">
        <f>IF(capacity&lt;B86+pluie!E79*catch/1000-F87*dinm*1000,-capacity+B86+pluie!E79*catch/1000-F87*dinm*1000,0)</f>
        <v>0</v>
      </c>
      <c r="AA87" s="141">
        <f t="shared" si="38"/>
        <v>0</v>
      </c>
      <c r="AB87" s="141">
        <f t="shared" si="39"/>
        <v>1</v>
      </c>
      <c r="AC87" s="10"/>
    </row>
    <row r="88" spans="1:29" s="7" customFormat="1" ht="11.25">
      <c r="A88" s="124">
        <v>78</v>
      </c>
      <c r="B88" s="141">
        <f>MIN(capacity,B87+pluie!E80*catch/1000-F88*dinm*1000)</f>
        <v>543750</v>
      </c>
      <c r="C88" s="145">
        <f t="shared" si="20"/>
        <v>0.54375</v>
      </c>
      <c r="D88" s="140">
        <v>0.5</v>
      </c>
      <c r="E88" s="122">
        <f t="shared" si="34"/>
        <v>7.5</v>
      </c>
      <c r="F88" s="122">
        <f t="shared" si="35"/>
        <v>7.5</v>
      </c>
      <c r="G88" s="117">
        <f t="shared" si="21"/>
        <v>0</v>
      </c>
      <c r="H88" s="117">
        <f t="shared" si="22"/>
        <v>0</v>
      </c>
      <c r="I88" s="122">
        <f t="shared" si="23"/>
        <v>0</v>
      </c>
      <c r="J88" s="138">
        <f t="shared" si="24"/>
        <v>5.625</v>
      </c>
      <c r="K88" s="10"/>
      <c r="L88" s="141">
        <f t="shared" si="25"/>
        <v>73739.40601876314</v>
      </c>
      <c r="M88" s="117">
        <f t="shared" si="26"/>
        <v>1</v>
      </c>
      <c r="N88" s="117">
        <f t="shared" si="27"/>
        <v>0</v>
      </c>
      <c r="O88" s="141">
        <f t="shared" si="28"/>
        <v>1260.5939812368597</v>
      </c>
      <c r="P88" s="142">
        <f t="shared" si="29"/>
        <v>75000</v>
      </c>
      <c r="Q88" s="10"/>
      <c r="R88" s="145">
        <f t="shared" si="30"/>
        <v>14.747881203752625</v>
      </c>
      <c r="S88" s="117">
        <f t="shared" si="31"/>
        <v>1</v>
      </c>
      <c r="T88" s="117">
        <f t="shared" si="36"/>
        <v>0</v>
      </c>
      <c r="U88" s="145">
        <f t="shared" si="37"/>
        <v>0.252118796247375</v>
      </c>
      <c r="V88" s="137">
        <f t="shared" si="32"/>
        <v>15</v>
      </c>
      <c r="W88" s="137">
        <f t="shared" si="33"/>
        <v>30</v>
      </c>
      <c r="Z88" s="141">
        <f>IF(capacity&lt;B87+pluie!E80*catch/1000-F88*dinm*1000,-capacity+B87+pluie!E80*catch/1000-F88*dinm*1000,0)</f>
        <v>0</v>
      </c>
      <c r="AA88" s="141">
        <f t="shared" si="38"/>
        <v>0</v>
      </c>
      <c r="AB88" s="141">
        <f t="shared" si="39"/>
        <v>0</v>
      </c>
      <c r="AC88" s="10"/>
    </row>
    <row r="89" spans="1:29" s="7" customFormat="1" ht="11.25">
      <c r="A89" s="124">
        <v>79</v>
      </c>
      <c r="B89" s="141">
        <f>MIN(capacity,B88+pluie!E81*catch/1000-F89*dinm*1000)</f>
        <v>315625</v>
      </c>
      <c r="C89" s="145">
        <f t="shared" si="20"/>
        <v>0.315625</v>
      </c>
      <c r="D89" s="140">
        <v>0.5</v>
      </c>
      <c r="E89" s="122">
        <f t="shared" si="34"/>
        <v>7.5</v>
      </c>
      <c r="F89" s="122">
        <f t="shared" si="35"/>
        <v>7.5</v>
      </c>
      <c r="G89" s="117">
        <f t="shared" si="21"/>
        <v>0</v>
      </c>
      <c r="H89" s="117">
        <f t="shared" si="22"/>
        <v>0</v>
      </c>
      <c r="I89" s="122">
        <f t="shared" si="23"/>
        <v>0</v>
      </c>
      <c r="J89" s="138">
        <f t="shared" si="24"/>
        <v>5.625</v>
      </c>
      <c r="K89" s="10"/>
      <c r="L89" s="141">
        <f t="shared" si="25"/>
        <v>56180.51263561058</v>
      </c>
      <c r="M89" s="117">
        <f t="shared" si="26"/>
        <v>1</v>
      </c>
      <c r="N89" s="117">
        <f t="shared" si="27"/>
        <v>0</v>
      </c>
      <c r="O89" s="141">
        <f t="shared" si="28"/>
        <v>18819.487364389417</v>
      </c>
      <c r="P89" s="142">
        <f t="shared" si="29"/>
        <v>75000</v>
      </c>
      <c r="Q89" s="10"/>
      <c r="R89" s="145">
        <f t="shared" si="30"/>
        <v>11.236102527122116</v>
      </c>
      <c r="S89" s="117">
        <f t="shared" si="31"/>
        <v>1</v>
      </c>
      <c r="T89" s="117">
        <f t="shared" si="36"/>
        <v>0</v>
      </c>
      <c r="U89" s="145">
        <f t="shared" si="37"/>
        <v>3.7638974728778845</v>
      </c>
      <c r="V89" s="137">
        <f t="shared" si="32"/>
        <v>15</v>
      </c>
      <c r="W89" s="137">
        <f t="shared" si="33"/>
        <v>30</v>
      </c>
      <c r="Z89" s="141">
        <f>IF(capacity&lt;B88+pluie!E81*catch/1000-F89*dinm*1000,-capacity+B88+pluie!E81*catch/1000-F89*dinm*1000,0)</f>
        <v>0</v>
      </c>
      <c r="AA89" s="141">
        <f t="shared" si="38"/>
        <v>0</v>
      </c>
      <c r="AB89" s="141">
        <f t="shared" si="39"/>
        <v>0</v>
      </c>
      <c r="AC89" s="10"/>
    </row>
    <row r="90" spans="1:29" s="7" customFormat="1" ht="11.25">
      <c r="A90" s="124">
        <v>80</v>
      </c>
      <c r="B90" s="141">
        <f>MIN(capacity,B89+pluie!E82*catch/1000-F90*dinm*1000)</f>
        <v>384578.8637838559</v>
      </c>
      <c r="C90" s="145">
        <f t="shared" si="20"/>
        <v>0.3845788637838559</v>
      </c>
      <c r="D90" s="140">
        <v>0.5</v>
      </c>
      <c r="E90" s="122">
        <f t="shared" si="34"/>
        <v>3.75</v>
      </c>
      <c r="F90" s="122">
        <f t="shared" si="35"/>
        <v>3.75</v>
      </c>
      <c r="G90" s="117">
        <f t="shared" si="21"/>
        <v>1</v>
      </c>
      <c r="H90" s="117">
        <f t="shared" si="22"/>
        <v>0</v>
      </c>
      <c r="I90" s="122">
        <f t="shared" si="23"/>
        <v>3.75</v>
      </c>
      <c r="J90" s="138">
        <f t="shared" si="24"/>
        <v>5.625</v>
      </c>
      <c r="K90" s="10"/>
      <c r="L90" s="141">
        <f t="shared" si="25"/>
        <v>62014.422821135406</v>
      </c>
      <c r="M90" s="117">
        <f t="shared" si="26"/>
        <v>1</v>
      </c>
      <c r="N90" s="117">
        <f t="shared" si="27"/>
        <v>0</v>
      </c>
      <c r="O90" s="141">
        <f t="shared" si="28"/>
        <v>12985.577178864594</v>
      </c>
      <c r="P90" s="142">
        <f t="shared" si="29"/>
        <v>75000</v>
      </c>
      <c r="Q90" s="10"/>
      <c r="R90" s="145">
        <f t="shared" si="30"/>
        <v>12.402884564227081</v>
      </c>
      <c r="S90" s="117">
        <f t="shared" si="31"/>
        <v>1</v>
      </c>
      <c r="T90" s="117">
        <f t="shared" si="36"/>
        <v>0</v>
      </c>
      <c r="U90" s="145">
        <f t="shared" si="37"/>
        <v>2.5971154357729187</v>
      </c>
      <c r="V90" s="137">
        <f t="shared" si="32"/>
        <v>15</v>
      </c>
      <c r="W90" s="137">
        <f t="shared" si="33"/>
        <v>30</v>
      </c>
      <c r="Z90" s="141">
        <f>IF(capacity&lt;B89+pluie!E82*catch/1000-F90*dinm*1000,-capacity+B89+pluie!E82*catch/1000-F90*dinm*1000,0)</f>
        <v>0</v>
      </c>
      <c r="AA90" s="141">
        <f t="shared" si="38"/>
        <v>0</v>
      </c>
      <c r="AB90" s="141">
        <f t="shared" si="39"/>
        <v>0</v>
      </c>
      <c r="AC90" s="10"/>
    </row>
    <row r="91" spans="1:29" s="7" customFormat="1" ht="11.25">
      <c r="A91" s="124">
        <v>81</v>
      </c>
      <c r="B91" s="141">
        <f>MIN(capacity,B90+pluie!E83*catch/1000-F91*dinm*1000)</f>
        <v>913773.3787028688</v>
      </c>
      <c r="C91" s="145">
        <f t="shared" si="20"/>
        <v>0.9137733787028688</v>
      </c>
      <c r="D91" s="140">
        <v>0.5</v>
      </c>
      <c r="E91" s="122">
        <f t="shared" si="34"/>
        <v>3.75</v>
      </c>
      <c r="F91" s="122">
        <f t="shared" si="35"/>
        <v>3.75</v>
      </c>
      <c r="G91" s="117">
        <f t="shared" si="21"/>
        <v>1</v>
      </c>
      <c r="H91" s="117">
        <f t="shared" si="22"/>
        <v>0</v>
      </c>
      <c r="I91" s="122">
        <f t="shared" si="23"/>
        <v>3.75</v>
      </c>
      <c r="J91" s="138">
        <f t="shared" si="24"/>
        <v>5.625</v>
      </c>
      <c r="K91" s="10"/>
      <c r="L91" s="141">
        <f t="shared" si="25"/>
        <v>95591.49432365145</v>
      </c>
      <c r="M91" s="117">
        <f t="shared" si="26"/>
        <v>0</v>
      </c>
      <c r="N91" s="117">
        <f t="shared" si="27"/>
        <v>1</v>
      </c>
      <c r="O91" s="141">
        <f t="shared" si="28"/>
        <v>0</v>
      </c>
      <c r="P91" s="142">
        <f t="shared" si="29"/>
        <v>75000</v>
      </c>
      <c r="Q91" s="10"/>
      <c r="R91" s="145">
        <f t="shared" si="30"/>
        <v>19.118298864730292</v>
      </c>
      <c r="S91" s="117">
        <f t="shared" si="31"/>
        <v>0</v>
      </c>
      <c r="T91" s="117">
        <f t="shared" si="36"/>
        <v>1</v>
      </c>
      <c r="U91" s="145">
        <f t="shared" si="37"/>
        <v>0</v>
      </c>
      <c r="V91" s="137">
        <f t="shared" si="32"/>
        <v>15</v>
      </c>
      <c r="W91" s="137">
        <f t="shared" si="33"/>
        <v>30</v>
      </c>
      <c r="Z91" s="141">
        <f>IF(capacity&lt;B90+pluie!E83*catch/1000-F91*dinm*1000,-capacity+B90+pluie!E83*catch/1000-F91*dinm*1000,0)</f>
        <v>0</v>
      </c>
      <c r="AA91" s="141">
        <f t="shared" si="38"/>
        <v>0</v>
      </c>
      <c r="AB91" s="141">
        <f t="shared" si="39"/>
        <v>0</v>
      </c>
      <c r="AC91" s="10"/>
    </row>
    <row r="92" spans="1:29" s="7" customFormat="1" ht="11.25">
      <c r="A92" s="124">
        <v>82</v>
      </c>
      <c r="B92" s="141">
        <f>MIN(capacity,B91+pluie!E84*catch/1000-F92*dinm*1000)</f>
        <v>1000000</v>
      </c>
      <c r="C92" s="145">
        <f t="shared" si="20"/>
        <v>1</v>
      </c>
      <c r="D92" s="140">
        <v>0.5</v>
      </c>
      <c r="E92" s="122">
        <f t="shared" si="34"/>
        <v>7.5</v>
      </c>
      <c r="F92" s="122">
        <f t="shared" si="35"/>
        <v>7.5</v>
      </c>
      <c r="G92" s="117">
        <f t="shared" si="21"/>
        <v>0</v>
      </c>
      <c r="H92" s="117">
        <f t="shared" si="22"/>
        <v>1</v>
      </c>
      <c r="I92" s="122">
        <f t="shared" si="23"/>
        <v>0</v>
      </c>
      <c r="J92" s="138">
        <f t="shared" si="24"/>
        <v>5.625</v>
      </c>
      <c r="K92" s="10"/>
      <c r="L92" s="141">
        <f t="shared" si="25"/>
        <v>100000</v>
      </c>
      <c r="M92" s="117">
        <f t="shared" si="26"/>
        <v>0</v>
      </c>
      <c r="N92" s="117">
        <f t="shared" si="27"/>
        <v>0</v>
      </c>
      <c r="O92" s="141">
        <f t="shared" si="28"/>
        <v>0</v>
      </c>
      <c r="P92" s="142">
        <f t="shared" si="29"/>
        <v>75000</v>
      </c>
      <c r="Q92" s="10"/>
      <c r="R92" s="145">
        <f t="shared" si="30"/>
        <v>20</v>
      </c>
      <c r="S92" s="117">
        <f t="shared" si="31"/>
        <v>0</v>
      </c>
      <c r="T92" s="117">
        <f t="shared" si="36"/>
        <v>0</v>
      </c>
      <c r="U92" s="145">
        <f t="shared" si="37"/>
        <v>0</v>
      </c>
      <c r="V92" s="137">
        <f t="shared" si="32"/>
        <v>15</v>
      </c>
      <c r="W92" s="137">
        <f t="shared" si="33"/>
        <v>30</v>
      </c>
      <c r="Z92" s="141">
        <f>IF(capacity&lt;B91+pluie!E84*catch/1000-F92*dinm*1000,-capacity+B91+pluie!E84*catch/1000-F92*dinm*1000,0)</f>
        <v>323365.7375974342</v>
      </c>
      <c r="AA92" s="141">
        <f t="shared" si="38"/>
        <v>1</v>
      </c>
      <c r="AB92" s="141">
        <f t="shared" si="39"/>
        <v>0</v>
      </c>
      <c r="AC92" s="10"/>
    </row>
    <row r="93" spans="1:29" s="7" customFormat="1" ht="11.25">
      <c r="A93" s="124">
        <v>83</v>
      </c>
      <c r="B93" s="141">
        <f>MIN(capacity,B92+pluie!E85*catch/1000-F93*dinm*1000)</f>
        <v>1000000</v>
      </c>
      <c r="C93" s="145">
        <f t="shared" si="20"/>
        <v>1</v>
      </c>
      <c r="D93" s="140">
        <v>0.5</v>
      </c>
      <c r="E93" s="122">
        <f t="shared" si="34"/>
        <v>7.5</v>
      </c>
      <c r="F93" s="122">
        <f t="shared" si="35"/>
        <v>7.5</v>
      </c>
      <c r="G93" s="117">
        <f t="shared" si="21"/>
        <v>0</v>
      </c>
      <c r="H93" s="117">
        <f t="shared" si="22"/>
        <v>0</v>
      </c>
      <c r="I93" s="122">
        <f t="shared" si="23"/>
        <v>0</v>
      </c>
      <c r="J93" s="138">
        <f t="shared" si="24"/>
        <v>5.625</v>
      </c>
      <c r="K93" s="10"/>
      <c r="L93" s="141">
        <f t="shared" si="25"/>
        <v>100000</v>
      </c>
      <c r="M93" s="117">
        <f t="shared" si="26"/>
        <v>0</v>
      </c>
      <c r="N93" s="117">
        <f t="shared" si="27"/>
        <v>0</v>
      </c>
      <c r="O93" s="141">
        <f t="shared" si="28"/>
        <v>0</v>
      </c>
      <c r="P93" s="142">
        <f t="shared" si="29"/>
        <v>75000</v>
      </c>
      <c r="Q93" s="10"/>
      <c r="R93" s="145">
        <f t="shared" si="30"/>
        <v>20</v>
      </c>
      <c r="S93" s="117">
        <f t="shared" si="31"/>
        <v>0</v>
      </c>
      <c r="T93" s="117">
        <f t="shared" si="36"/>
        <v>0</v>
      </c>
      <c r="U93" s="145">
        <f t="shared" si="37"/>
        <v>0</v>
      </c>
      <c r="V93" s="137">
        <f t="shared" si="32"/>
        <v>15</v>
      </c>
      <c r="W93" s="137">
        <f t="shared" si="33"/>
        <v>30</v>
      </c>
      <c r="Z93" s="141">
        <f>IF(capacity&lt;B92+pluie!E85*catch/1000-F93*dinm*1000,-capacity+B92+pluie!E85*catch/1000-F93*dinm*1000,0)</f>
        <v>1210107.553556159</v>
      </c>
      <c r="AA93" s="141">
        <f t="shared" si="38"/>
        <v>1</v>
      </c>
      <c r="AB93" s="141">
        <f t="shared" si="39"/>
        <v>0</v>
      </c>
      <c r="AC93" s="10"/>
    </row>
    <row r="94" spans="1:29" s="7" customFormat="1" ht="11.25">
      <c r="A94" s="124">
        <v>84</v>
      </c>
      <c r="B94" s="141">
        <f>MIN(capacity,B93+pluie!E86*catch/1000-F94*dinm*1000)</f>
        <v>1000000</v>
      </c>
      <c r="C94" s="145">
        <f t="shared" si="20"/>
        <v>1</v>
      </c>
      <c r="D94" s="140">
        <v>0.5</v>
      </c>
      <c r="E94" s="122">
        <f t="shared" si="34"/>
        <v>7.5</v>
      </c>
      <c r="F94" s="122">
        <f t="shared" si="35"/>
        <v>7.5</v>
      </c>
      <c r="G94" s="117">
        <f t="shared" si="21"/>
        <v>0</v>
      </c>
      <c r="H94" s="117">
        <f t="shared" si="22"/>
        <v>0</v>
      </c>
      <c r="I94" s="122">
        <f t="shared" si="23"/>
        <v>0</v>
      </c>
      <c r="J94" s="138">
        <f t="shared" si="24"/>
        <v>5.625</v>
      </c>
      <c r="K94" s="10"/>
      <c r="L94" s="141">
        <f t="shared" si="25"/>
        <v>100000</v>
      </c>
      <c r="M94" s="117">
        <f t="shared" si="26"/>
        <v>0</v>
      </c>
      <c r="N94" s="117">
        <f t="shared" si="27"/>
        <v>0</v>
      </c>
      <c r="O94" s="141">
        <f t="shared" si="28"/>
        <v>0</v>
      </c>
      <c r="P94" s="142">
        <f t="shared" si="29"/>
        <v>75000</v>
      </c>
      <c r="Q94" s="10"/>
      <c r="R94" s="145">
        <f t="shared" si="30"/>
        <v>20</v>
      </c>
      <c r="S94" s="117">
        <f t="shared" si="31"/>
        <v>0</v>
      </c>
      <c r="T94" s="117">
        <f t="shared" si="36"/>
        <v>0</v>
      </c>
      <c r="U94" s="145">
        <f t="shared" si="37"/>
        <v>0</v>
      </c>
      <c r="V94" s="137">
        <f t="shared" si="32"/>
        <v>15</v>
      </c>
      <c r="W94" s="137">
        <f t="shared" si="33"/>
        <v>30</v>
      </c>
      <c r="Z94" s="141">
        <f>IF(capacity&lt;B93+pluie!E86*catch/1000-F94*dinm*1000,-capacity+B93+pluie!E86*catch/1000-F94*dinm*1000,0)</f>
        <v>1385654.8017661017</v>
      </c>
      <c r="AA94" s="141">
        <f t="shared" si="38"/>
        <v>1</v>
      </c>
      <c r="AB94" s="141">
        <f t="shared" si="39"/>
        <v>0</v>
      </c>
      <c r="AC94" s="10"/>
    </row>
    <row r="95" spans="1:29" s="7" customFormat="1" ht="11.25">
      <c r="A95" s="124">
        <v>85</v>
      </c>
      <c r="B95" s="141">
        <f>MIN(capacity,B94+pluie!E87*catch/1000-F95*dinm*1000)</f>
        <v>1000000</v>
      </c>
      <c r="C95" s="145">
        <f t="shared" si="20"/>
        <v>1</v>
      </c>
      <c r="D95" s="140">
        <v>0.5</v>
      </c>
      <c r="E95" s="122">
        <f t="shared" si="34"/>
        <v>7.5</v>
      </c>
      <c r="F95" s="122">
        <f t="shared" si="35"/>
        <v>7.5</v>
      </c>
      <c r="G95" s="117">
        <f t="shared" si="21"/>
        <v>0</v>
      </c>
      <c r="H95" s="117">
        <f t="shared" si="22"/>
        <v>0</v>
      </c>
      <c r="I95" s="122">
        <f t="shared" si="23"/>
        <v>0</v>
      </c>
      <c r="J95" s="138">
        <f t="shared" si="24"/>
        <v>5.625</v>
      </c>
      <c r="K95" s="10"/>
      <c r="L95" s="141">
        <f t="shared" si="25"/>
        <v>100000</v>
      </c>
      <c r="M95" s="117">
        <f t="shared" si="26"/>
        <v>0</v>
      </c>
      <c r="N95" s="117">
        <f t="shared" si="27"/>
        <v>0</v>
      </c>
      <c r="O95" s="141">
        <f t="shared" si="28"/>
        <v>0</v>
      </c>
      <c r="P95" s="142">
        <f t="shared" si="29"/>
        <v>75000</v>
      </c>
      <c r="Q95" s="10"/>
      <c r="R95" s="145">
        <f t="shared" si="30"/>
        <v>20</v>
      </c>
      <c r="S95" s="117">
        <f t="shared" si="31"/>
        <v>0</v>
      </c>
      <c r="T95" s="117">
        <f t="shared" si="36"/>
        <v>0</v>
      </c>
      <c r="U95" s="145">
        <f t="shared" si="37"/>
        <v>0</v>
      </c>
      <c r="V95" s="137">
        <f t="shared" si="32"/>
        <v>15</v>
      </c>
      <c r="W95" s="137">
        <f t="shared" si="33"/>
        <v>30</v>
      </c>
      <c r="Z95" s="141">
        <f>IF(capacity&lt;B94+pluie!E87*catch/1000-F95*dinm*1000,-capacity+B94+pluie!E87*catch/1000-F95*dinm*1000,0)</f>
        <v>1178792.9532780792</v>
      </c>
      <c r="AA95" s="141">
        <f t="shared" si="38"/>
        <v>1</v>
      </c>
      <c r="AB95" s="141">
        <f t="shared" si="39"/>
        <v>0</v>
      </c>
      <c r="AC95" s="10"/>
    </row>
    <row r="96" spans="1:29" s="7" customFormat="1" ht="11.25">
      <c r="A96" s="124">
        <v>86</v>
      </c>
      <c r="B96" s="141">
        <f>MIN(capacity,B95+pluie!E88*catch/1000-F96*dinm*1000)</f>
        <v>1000000</v>
      </c>
      <c r="C96" s="145">
        <f t="shared" si="20"/>
        <v>1</v>
      </c>
      <c r="D96" s="140">
        <v>0.5</v>
      </c>
      <c r="E96" s="122">
        <f t="shared" si="34"/>
        <v>7.5</v>
      </c>
      <c r="F96" s="122">
        <f t="shared" si="35"/>
        <v>7.5</v>
      </c>
      <c r="G96" s="117">
        <f t="shared" si="21"/>
        <v>0</v>
      </c>
      <c r="H96" s="117">
        <f t="shared" si="22"/>
        <v>0</v>
      </c>
      <c r="I96" s="122">
        <f t="shared" si="23"/>
        <v>0</v>
      </c>
      <c r="J96" s="138">
        <f t="shared" si="24"/>
        <v>5.625</v>
      </c>
      <c r="K96" s="10"/>
      <c r="L96" s="141">
        <f t="shared" si="25"/>
        <v>100000</v>
      </c>
      <c r="M96" s="117">
        <f t="shared" si="26"/>
        <v>0</v>
      </c>
      <c r="N96" s="117">
        <f t="shared" si="27"/>
        <v>0</v>
      </c>
      <c r="O96" s="141">
        <f t="shared" si="28"/>
        <v>0</v>
      </c>
      <c r="P96" s="142">
        <f t="shared" si="29"/>
        <v>75000</v>
      </c>
      <c r="Q96" s="10"/>
      <c r="R96" s="145">
        <f t="shared" si="30"/>
        <v>20</v>
      </c>
      <c r="S96" s="117">
        <f t="shared" si="31"/>
        <v>0</v>
      </c>
      <c r="T96" s="117">
        <f t="shared" si="36"/>
        <v>0</v>
      </c>
      <c r="U96" s="145">
        <f t="shared" si="37"/>
        <v>0</v>
      </c>
      <c r="V96" s="137">
        <f t="shared" si="32"/>
        <v>15</v>
      </c>
      <c r="W96" s="137">
        <f t="shared" si="33"/>
        <v>30</v>
      </c>
      <c r="Z96" s="141">
        <f>IF(capacity&lt;B95+pluie!E88*catch/1000-F96*dinm*1000,-capacity+B95+pluie!E88*catch/1000-F96*dinm*1000,0)</f>
        <v>1299483.3937017885</v>
      </c>
      <c r="AA96" s="141">
        <f t="shared" si="38"/>
        <v>1</v>
      </c>
      <c r="AB96" s="141">
        <f t="shared" si="39"/>
        <v>0</v>
      </c>
      <c r="AC96" s="10"/>
    </row>
    <row r="97" spans="1:29" s="7" customFormat="1" ht="11.25">
      <c r="A97" s="124">
        <v>87</v>
      </c>
      <c r="B97" s="141">
        <f>MIN(capacity,B96+pluie!E89*catch/1000-F97*dinm*1000)</f>
        <v>1000000</v>
      </c>
      <c r="C97" s="145">
        <f t="shared" si="20"/>
        <v>1</v>
      </c>
      <c r="D97" s="140">
        <v>0.5</v>
      </c>
      <c r="E97" s="122">
        <f t="shared" si="34"/>
        <v>7.5</v>
      </c>
      <c r="F97" s="122">
        <f t="shared" si="35"/>
        <v>7.5</v>
      </c>
      <c r="G97" s="117">
        <f t="shared" si="21"/>
        <v>0</v>
      </c>
      <c r="H97" s="117">
        <f t="shared" si="22"/>
        <v>0</v>
      </c>
      <c r="I97" s="122">
        <f t="shared" si="23"/>
        <v>0</v>
      </c>
      <c r="J97" s="138">
        <f t="shared" si="24"/>
        <v>5.625</v>
      </c>
      <c r="K97" s="10"/>
      <c r="L97" s="141">
        <f t="shared" si="25"/>
        <v>100000</v>
      </c>
      <c r="M97" s="117">
        <f t="shared" si="26"/>
        <v>0</v>
      </c>
      <c r="N97" s="117">
        <f t="shared" si="27"/>
        <v>0</v>
      </c>
      <c r="O97" s="141">
        <f t="shared" si="28"/>
        <v>0</v>
      </c>
      <c r="P97" s="142">
        <f t="shared" si="29"/>
        <v>75000</v>
      </c>
      <c r="Q97" s="10"/>
      <c r="R97" s="145">
        <f t="shared" si="30"/>
        <v>20</v>
      </c>
      <c r="S97" s="117">
        <f t="shared" si="31"/>
        <v>0</v>
      </c>
      <c r="T97" s="117">
        <f t="shared" si="36"/>
        <v>0</v>
      </c>
      <c r="U97" s="145">
        <f t="shared" si="37"/>
        <v>0</v>
      </c>
      <c r="V97" s="137">
        <f t="shared" si="32"/>
        <v>15</v>
      </c>
      <c r="W97" s="137">
        <f t="shared" si="33"/>
        <v>30</v>
      </c>
      <c r="Z97" s="141">
        <f>IF(capacity&lt;B96+pluie!E89*catch/1000-F97*dinm*1000,-capacity+B96+pluie!E89*catch/1000-F97*dinm*1000,0)</f>
        <v>862105.2813512674</v>
      </c>
      <c r="AA97" s="141">
        <f t="shared" si="38"/>
        <v>1</v>
      </c>
      <c r="AB97" s="141">
        <f t="shared" si="39"/>
        <v>0</v>
      </c>
      <c r="AC97" s="10"/>
    </row>
    <row r="98" spans="1:29" s="7" customFormat="1" ht="11.25">
      <c r="A98" s="124">
        <v>88</v>
      </c>
      <c r="B98" s="141">
        <f>MIN(capacity,B97+pluie!E90*catch/1000-F98*dinm*1000)</f>
        <v>771875</v>
      </c>
      <c r="C98" s="145">
        <f t="shared" si="20"/>
        <v>0.771875</v>
      </c>
      <c r="D98" s="140">
        <v>0.5</v>
      </c>
      <c r="E98" s="122">
        <f t="shared" si="34"/>
        <v>7.5</v>
      </c>
      <c r="F98" s="122">
        <f t="shared" si="35"/>
        <v>7.5</v>
      </c>
      <c r="G98" s="117">
        <f t="shared" si="21"/>
        <v>0</v>
      </c>
      <c r="H98" s="117">
        <f t="shared" si="22"/>
        <v>0</v>
      </c>
      <c r="I98" s="122">
        <f t="shared" si="23"/>
        <v>0</v>
      </c>
      <c r="J98" s="138">
        <f t="shared" si="24"/>
        <v>5.625</v>
      </c>
      <c r="K98" s="10"/>
      <c r="L98" s="141">
        <f t="shared" si="25"/>
        <v>87856.4169540279</v>
      </c>
      <c r="M98" s="117">
        <f t="shared" si="26"/>
        <v>0</v>
      </c>
      <c r="N98" s="117">
        <f t="shared" si="27"/>
        <v>0</v>
      </c>
      <c r="O98" s="141">
        <f t="shared" si="28"/>
        <v>0</v>
      </c>
      <c r="P98" s="142">
        <f t="shared" si="29"/>
        <v>75000</v>
      </c>
      <c r="Q98" s="10"/>
      <c r="R98" s="145">
        <f t="shared" si="30"/>
        <v>17.57128339080558</v>
      </c>
      <c r="S98" s="117">
        <f t="shared" si="31"/>
        <v>0</v>
      </c>
      <c r="T98" s="117">
        <f t="shared" si="36"/>
        <v>0</v>
      </c>
      <c r="U98" s="145">
        <f t="shared" si="37"/>
        <v>0</v>
      </c>
      <c r="V98" s="137">
        <f t="shared" si="32"/>
        <v>15</v>
      </c>
      <c r="W98" s="137">
        <f t="shared" si="33"/>
        <v>30</v>
      </c>
      <c r="Z98" s="141">
        <f>IF(capacity&lt;B97+pluie!E90*catch/1000-F98*dinm*1000,-capacity+B97+pluie!E90*catch/1000-F98*dinm*1000,0)</f>
        <v>0</v>
      </c>
      <c r="AA98" s="141">
        <f t="shared" si="38"/>
        <v>0</v>
      </c>
      <c r="AB98" s="141">
        <f t="shared" si="39"/>
        <v>1</v>
      </c>
      <c r="AC98" s="10"/>
    </row>
    <row r="99" spans="1:29" s="7" customFormat="1" ht="11.25">
      <c r="A99" s="124">
        <v>89</v>
      </c>
      <c r="B99" s="141">
        <f>MIN(capacity,B98+pluie!E91*catch/1000-F99*dinm*1000)</f>
        <v>543750</v>
      </c>
      <c r="C99" s="145">
        <f t="shared" si="20"/>
        <v>0.54375</v>
      </c>
      <c r="D99" s="140">
        <v>0.5</v>
      </c>
      <c r="E99" s="122">
        <f t="shared" si="34"/>
        <v>7.5</v>
      </c>
      <c r="F99" s="122">
        <f t="shared" si="35"/>
        <v>7.5</v>
      </c>
      <c r="G99" s="117">
        <f t="shared" si="21"/>
        <v>0</v>
      </c>
      <c r="H99" s="117">
        <f t="shared" si="22"/>
        <v>0</v>
      </c>
      <c r="I99" s="122">
        <f t="shared" si="23"/>
        <v>0</v>
      </c>
      <c r="J99" s="138">
        <f t="shared" si="24"/>
        <v>5.625</v>
      </c>
      <c r="K99" s="10"/>
      <c r="L99" s="141">
        <f t="shared" si="25"/>
        <v>73739.40601876314</v>
      </c>
      <c r="M99" s="117">
        <f t="shared" si="26"/>
        <v>1</v>
      </c>
      <c r="N99" s="117">
        <f t="shared" si="27"/>
        <v>0</v>
      </c>
      <c r="O99" s="141">
        <f t="shared" si="28"/>
        <v>1260.5939812368597</v>
      </c>
      <c r="P99" s="142">
        <f t="shared" si="29"/>
        <v>75000</v>
      </c>
      <c r="Q99" s="10"/>
      <c r="R99" s="145">
        <f t="shared" si="30"/>
        <v>14.747881203752625</v>
      </c>
      <c r="S99" s="117">
        <f t="shared" si="31"/>
        <v>1</v>
      </c>
      <c r="T99" s="117">
        <f t="shared" si="36"/>
        <v>0</v>
      </c>
      <c r="U99" s="145">
        <f t="shared" si="37"/>
        <v>0.252118796247375</v>
      </c>
      <c r="V99" s="137">
        <f t="shared" si="32"/>
        <v>15</v>
      </c>
      <c r="W99" s="137">
        <f t="shared" si="33"/>
        <v>30</v>
      </c>
      <c r="Z99" s="141">
        <f>IF(capacity&lt;B98+pluie!E91*catch/1000-F99*dinm*1000,-capacity+B98+pluie!E91*catch/1000-F99*dinm*1000,0)</f>
        <v>0</v>
      </c>
      <c r="AA99" s="141">
        <f t="shared" si="38"/>
        <v>0</v>
      </c>
      <c r="AB99" s="141">
        <f t="shared" si="39"/>
        <v>0</v>
      </c>
      <c r="AC99" s="10"/>
    </row>
    <row r="100" spans="1:29" s="7" customFormat="1" ht="11.25">
      <c r="A100" s="124">
        <v>90</v>
      </c>
      <c r="B100" s="141">
        <f>MIN(capacity,B99+pluie!E92*catch/1000-F100*dinm*1000)</f>
        <v>315625</v>
      </c>
      <c r="C100" s="145">
        <f t="shared" si="20"/>
        <v>0.315625</v>
      </c>
      <c r="D100" s="140">
        <v>0.5</v>
      </c>
      <c r="E100" s="122">
        <f t="shared" si="34"/>
        <v>7.5</v>
      </c>
      <c r="F100" s="122">
        <f t="shared" si="35"/>
        <v>7.5</v>
      </c>
      <c r="G100" s="117">
        <f t="shared" si="21"/>
        <v>0</v>
      </c>
      <c r="H100" s="117">
        <f t="shared" si="22"/>
        <v>0</v>
      </c>
      <c r="I100" s="122">
        <f t="shared" si="23"/>
        <v>0</v>
      </c>
      <c r="J100" s="138">
        <f t="shared" si="24"/>
        <v>5.625</v>
      </c>
      <c r="K100" s="10"/>
      <c r="L100" s="141">
        <f t="shared" si="25"/>
        <v>56180.51263561058</v>
      </c>
      <c r="M100" s="117">
        <f t="shared" si="26"/>
        <v>1</v>
      </c>
      <c r="N100" s="117">
        <f t="shared" si="27"/>
        <v>0</v>
      </c>
      <c r="O100" s="141">
        <f t="shared" si="28"/>
        <v>18819.487364389417</v>
      </c>
      <c r="P100" s="142">
        <f t="shared" si="29"/>
        <v>75000</v>
      </c>
      <c r="Q100" s="10"/>
      <c r="R100" s="145">
        <f t="shared" si="30"/>
        <v>11.236102527122116</v>
      </c>
      <c r="S100" s="117">
        <f t="shared" si="31"/>
        <v>1</v>
      </c>
      <c r="T100" s="117">
        <f t="shared" si="36"/>
        <v>0</v>
      </c>
      <c r="U100" s="145">
        <f t="shared" si="37"/>
        <v>3.7638974728778845</v>
      </c>
      <c r="V100" s="137">
        <f t="shared" si="32"/>
        <v>15</v>
      </c>
      <c r="W100" s="137">
        <f t="shared" si="33"/>
        <v>30</v>
      </c>
      <c r="Z100" s="141">
        <f>IF(capacity&lt;B99+pluie!E92*catch/1000-F100*dinm*1000,-capacity+B99+pluie!E92*catch/1000-F100*dinm*1000,0)</f>
        <v>0</v>
      </c>
      <c r="AA100" s="141">
        <f t="shared" si="38"/>
        <v>0</v>
      </c>
      <c r="AB100" s="141">
        <f t="shared" si="39"/>
        <v>0</v>
      </c>
      <c r="AC100" s="10"/>
    </row>
    <row r="101" spans="1:29" s="7" customFormat="1" ht="11.25">
      <c r="A101" s="124">
        <v>91</v>
      </c>
      <c r="B101" s="141">
        <f>MIN(capacity,B100+pluie!E93*catch/1000-F101*dinm*1000)</f>
        <v>201562.5</v>
      </c>
      <c r="C101" s="145">
        <f t="shared" si="20"/>
        <v>0.2015625</v>
      </c>
      <c r="D101" s="140">
        <v>0.5</v>
      </c>
      <c r="E101" s="122">
        <f t="shared" si="34"/>
        <v>3.75</v>
      </c>
      <c r="F101" s="122">
        <f t="shared" si="35"/>
        <v>3.75</v>
      </c>
      <c r="G101" s="117">
        <f t="shared" si="21"/>
        <v>1</v>
      </c>
      <c r="H101" s="117">
        <f t="shared" si="22"/>
        <v>0</v>
      </c>
      <c r="I101" s="122">
        <f t="shared" si="23"/>
        <v>3.75</v>
      </c>
      <c r="J101" s="138">
        <f t="shared" si="24"/>
        <v>5.625</v>
      </c>
      <c r="K101" s="10"/>
      <c r="L101" s="141">
        <f t="shared" si="25"/>
        <v>44895.71249016993</v>
      </c>
      <c r="M101" s="117">
        <f t="shared" si="26"/>
        <v>1</v>
      </c>
      <c r="N101" s="117">
        <f t="shared" si="27"/>
        <v>0</v>
      </c>
      <c r="O101" s="141">
        <f t="shared" si="28"/>
        <v>30104.287509830072</v>
      </c>
      <c r="P101" s="142">
        <f t="shared" si="29"/>
        <v>75000</v>
      </c>
      <c r="Q101" s="10"/>
      <c r="R101" s="145">
        <f t="shared" si="30"/>
        <v>8.979142498033985</v>
      </c>
      <c r="S101" s="117">
        <f t="shared" si="31"/>
        <v>1</v>
      </c>
      <c r="T101" s="117">
        <f t="shared" si="36"/>
        <v>0</v>
      </c>
      <c r="U101" s="145">
        <f t="shared" si="37"/>
        <v>6.020857501966015</v>
      </c>
      <c r="V101" s="137">
        <f t="shared" si="32"/>
        <v>15</v>
      </c>
      <c r="W101" s="137">
        <f t="shared" si="33"/>
        <v>30</v>
      </c>
      <c r="Z101" s="141">
        <f>IF(capacity&lt;B100+pluie!E93*catch/1000-F101*dinm*1000,-capacity+B100+pluie!E93*catch/1000-F101*dinm*1000,0)</f>
        <v>0</v>
      </c>
      <c r="AA101" s="141">
        <f t="shared" si="38"/>
        <v>0</v>
      </c>
      <c r="AB101" s="141">
        <f t="shared" si="39"/>
        <v>0</v>
      </c>
      <c r="AC101" s="10"/>
    </row>
    <row r="102" spans="1:29" s="7" customFormat="1" ht="11.25">
      <c r="A102" s="124">
        <v>92</v>
      </c>
      <c r="B102" s="141">
        <f>MIN(capacity,B101+pluie!E94*catch/1000-F102*dinm*1000)</f>
        <v>87500</v>
      </c>
      <c r="C102" s="145">
        <f t="shared" si="20"/>
        <v>0.0875</v>
      </c>
      <c r="D102" s="140">
        <v>0.5</v>
      </c>
      <c r="E102" s="122">
        <f t="shared" si="34"/>
        <v>3.75</v>
      </c>
      <c r="F102" s="122">
        <f t="shared" si="35"/>
        <v>3.75</v>
      </c>
      <c r="G102" s="117">
        <f t="shared" si="21"/>
        <v>1</v>
      </c>
      <c r="H102" s="117">
        <f t="shared" si="22"/>
        <v>0</v>
      </c>
      <c r="I102" s="122">
        <f t="shared" si="23"/>
        <v>3.75</v>
      </c>
      <c r="J102" s="138">
        <f t="shared" si="24"/>
        <v>5.625</v>
      </c>
      <c r="K102" s="10"/>
      <c r="L102" s="141">
        <f t="shared" si="25"/>
        <v>29580.39891549808</v>
      </c>
      <c r="M102" s="117">
        <f t="shared" si="26"/>
        <v>1</v>
      </c>
      <c r="N102" s="117">
        <f t="shared" si="27"/>
        <v>0</v>
      </c>
      <c r="O102" s="141">
        <f t="shared" si="28"/>
        <v>45419.60108450192</v>
      </c>
      <c r="P102" s="142">
        <f t="shared" si="29"/>
        <v>75000</v>
      </c>
      <c r="Q102" s="10"/>
      <c r="R102" s="145">
        <f t="shared" si="30"/>
        <v>5.916079783099616</v>
      </c>
      <c r="S102" s="117">
        <f t="shared" si="31"/>
        <v>1</v>
      </c>
      <c r="T102" s="117">
        <f t="shared" si="36"/>
        <v>0</v>
      </c>
      <c r="U102" s="145">
        <f t="shared" si="37"/>
        <v>9.083920216900385</v>
      </c>
      <c r="V102" s="137">
        <f t="shared" si="32"/>
        <v>15</v>
      </c>
      <c r="W102" s="137">
        <f t="shared" si="33"/>
        <v>30</v>
      </c>
      <c r="Z102" s="141">
        <f>IF(capacity&lt;B101+pluie!E94*catch/1000-F102*dinm*1000,-capacity+B101+pluie!E94*catch/1000-F102*dinm*1000,0)</f>
        <v>0</v>
      </c>
      <c r="AA102" s="141">
        <f t="shared" si="38"/>
        <v>0</v>
      </c>
      <c r="AB102" s="141">
        <f t="shared" si="39"/>
        <v>0</v>
      </c>
      <c r="AC102" s="10"/>
    </row>
    <row r="103" spans="1:28" ht="11.25">
      <c r="A103" s="125">
        <v>93</v>
      </c>
      <c r="B103" s="141">
        <f>MIN(capacity,B102+pluie!E95*catch/1000-F103*dinm*1000)</f>
        <v>214257.01491901278</v>
      </c>
      <c r="C103" s="145">
        <f t="shared" si="20"/>
        <v>0.21425701491901278</v>
      </c>
      <c r="D103" s="140">
        <v>0.5</v>
      </c>
      <c r="E103" s="122">
        <f t="shared" si="34"/>
        <v>3.75</v>
      </c>
      <c r="F103" s="122">
        <f>MIN(E103,B102/1000/dinm)</f>
        <v>2.8767123287671232</v>
      </c>
      <c r="G103" s="117">
        <f t="shared" si="21"/>
        <v>1</v>
      </c>
      <c r="H103" s="117">
        <f t="shared" si="22"/>
        <v>0</v>
      </c>
      <c r="I103" s="122">
        <f t="shared" si="23"/>
        <v>4.623287671232877</v>
      </c>
      <c r="J103" s="138">
        <f t="shared" si="24"/>
        <v>5.625</v>
      </c>
      <c r="L103" s="141">
        <f>IF(B103&gt;0,100*B103^0.5,1)</f>
        <v>46287.90499893172</v>
      </c>
      <c r="M103" s="117">
        <f>IF(L103&lt;area,1,0)</f>
        <v>1</v>
      </c>
      <c r="N103" s="117">
        <f t="shared" si="27"/>
        <v>0</v>
      </c>
      <c r="O103" s="141">
        <f t="shared" si="28"/>
        <v>28712.09500106828</v>
      </c>
      <c r="P103" s="142">
        <f t="shared" si="29"/>
        <v>75000</v>
      </c>
      <c r="R103" s="145">
        <f t="shared" si="30"/>
        <v>9.257580999786343</v>
      </c>
      <c r="S103" s="117">
        <f t="shared" si="31"/>
        <v>1</v>
      </c>
      <c r="T103" s="117">
        <f t="shared" si="36"/>
        <v>0</v>
      </c>
      <c r="U103" s="145">
        <f t="shared" si="37"/>
        <v>5.742419000213657</v>
      </c>
      <c r="V103" s="137">
        <f t="shared" si="32"/>
        <v>15</v>
      </c>
      <c r="W103" s="137">
        <f t="shared" si="33"/>
        <v>30</v>
      </c>
      <c r="Y103" s="7"/>
      <c r="Z103" s="141">
        <f>IF(capacity&lt;B102+pluie!E95*catch/1000-F103*dinm*1000,-capacity+B102+pluie!E95*catch/1000-F103*dinm*1000,0)</f>
        <v>0</v>
      </c>
      <c r="AA103" s="141">
        <f t="shared" si="38"/>
        <v>0</v>
      </c>
      <c r="AB103" s="141">
        <f t="shared" si="39"/>
        <v>0</v>
      </c>
    </row>
    <row r="104" spans="1:29" s="7" customFormat="1" ht="11.25">
      <c r="A104" s="124">
        <v>94</v>
      </c>
      <c r="B104" s="141">
        <f>MIN(capacity,B103+pluie!E96*catch/1000-F104*dinm*1000)</f>
        <v>152911.87381357804</v>
      </c>
      <c r="C104" s="145">
        <f t="shared" si="20"/>
        <v>0.15291187381357804</v>
      </c>
      <c r="D104" s="140">
        <v>0.5</v>
      </c>
      <c r="E104" s="122">
        <f t="shared" si="34"/>
        <v>3.75</v>
      </c>
      <c r="F104" s="122">
        <f t="shared" si="35"/>
        <v>3.75</v>
      </c>
      <c r="G104" s="117">
        <f t="shared" si="21"/>
        <v>1</v>
      </c>
      <c r="H104" s="117">
        <f t="shared" si="22"/>
        <v>0</v>
      </c>
      <c r="I104" s="122">
        <f t="shared" si="23"/>
        <v>3.75</v>
      </c>
      <c r="J104" s="138">
        <f t="shared" si="24"/>
        <v>5.625</v>
      </c>
      <c r="K104" s="10"/>
      <c r="L104" s="141">
        <f t="shared" si="25"/>
        <v>39103.947858698106</v>
      </c>
      <c r="M104" s="117">
        <f t="shared" si="26"/>
        <v>1</v>
      </c>
      <c r="N104" s="117">
        <f t="shared" si="27"/>
        <v>0</v>
      </c>
      <c r="O104" s="141">
        <f t="shared" si="28"/>
        <v>35896.052141301894</v>
      </c>
      <c r="P104" s="142">
        <f t="shared" si="29"/>
        <v>75000</v>
      </c>
      <c r="Q104" s="10"/>
      <c r="R104" s="145">
        <f t="shared" si="30"/>
        <v>7.820789571739622</v>
      </c>
      <c r="S104" s="117">
        <f t="shared" si="31"/>
        <v>1</v>
      </c>
      <c r="T104" s="117">
        <f t="shared" si="36"/>
        <v>0</v>
      </c>
      <c r="U104" s="145">
        <f t="shared" si="37"/>
        <v>7.179210428260378</v>
      </c>
      <c r="V104" s="137">
        <f t="shared" si="32"/>
        <v>15</v>
      </c>
      <c r="W104" s="137">
        <f t="shared" si="33"/>
        <v>30</v>
      </c>
      <c r="Z104" s="141">
        <f>IF(capacity&lt;B103+pluie!E96*catch/1000-F104*dinm*1000,-capacity+B103+pluie!E96*catch/1000-F104*dinm*1000,0)</f>
        <v>0</v>
      </c>
      <c r="AA104" s="141">
        <f t="shared" si="38"/>
        <v>0</v>
      </c>
      <c r="AB104" s="141">
        <f t="shared" si="39"/>
        <v>0</v>
      </c>
      <c r="AC104" s="10"/>
    </row>
    <row r="105" spans="1:29" s="7" customFormat="1" ht="11.25">
      <c r="A105" s="124">
        <v>95</v>
      </c>
      <c r="B105" s="141">
        <f>MIN(capacity,B104+pluie!E97*catch/1000-F105*dinm*1000)</f>
        <v>303081.92736973695</v>
      </c>
      <c r="C105" s="145">
        <f t="shared" si="20"/>
        <v>0.30308192736973694</v>
      </c>
      <c r="D105" s="140">
        <v>0.5</v>
      </c>
      <c r="E105" s="122">
        <f t="shared" si="34"/>
        <v>3.75</v>
      </c>
      <c r="F105" s="122">
        <f t="shared" si="35"/>
        <v>3.75</v>
      </c>
      <c r="G105" s="117">
        <f t="shared" si="21"/>
        <v>1</v>
      </c>
      <c r="H105" s="117">
        <f t="shared" si="22"/>
        <v>0</v>
      </c>
      <c r="I105" s="122">
        <f t="shared" si="23"/>
        <v>3.75</v>
      </c>
      <c r="J105" s="138">
        <f t="shared" si="24"/>
        <v>5.625</v>
      </c>
      <c r="K105" s="10"/>
      <c r="L105" s="141">
        <f t="shared" si="25"/>
        <v>55052.8770701166</v>
      </c>
      <c r="M105" s="117">
        <f t="shared" si="26"/>
        <v>1</v>
      </c>
      <c r="N105" s="117">
        <f t="shared" si="27"/>
        <v>0</v>
      </c>
      <c r="O105" s="141">
        <f t="shared" si="28"/>
        <v>19947.1229298834</v>
      </c>
      <c r="P105" s="142">
        <f t="shared" si="29"/>
        <v>75000</v>
      </c>
      <c r="Q105" s="10"/>
      <c r="R105" s="145">
        <f t="shared" si="30"/>
        <v>11.010575414023318</v>
      </c>
      <c r="S105" s="117">
        <f t="shared" si="31"/>
        <v>1</v>
      </c>
      <c r="T105" s="117">
        <f t="shared" si="36"/>
        <v>0</v>
      </c>
      <c r="U105" s="145">
        <f t="shared" si="37"/>
        <v>3.989424585976682</v>
      </c>
      <c r="V105" s="137">
        <f t="shared" si="32"/>
        <v>15</v>
      </c>
      <c r="W105" s="137">
        <f t="shared" si="33"/>
        <v>30</v>
      </c>
      <c r="Z105" s="141">
        <f>IF(capacity&lt;B104+pluie!E97*catch/1000-F105*dinm*1000,-capacity+B104+pluie!E97*catch/1000-F105*dinm*1000,0)</f>
        <v>0</v>
      </c>
      <c r="AA105" s="141">
        <f t="shared" si="38"/>
        <v>0</v>
      </c>
      <c r="AB105" s="141">
        <f t="shared" si="39"/>
        <v>0</v>
      </c>
      <c r="AC105" s="10"/>
    </row>
    <row r="106" spans="1:29" s="7" customFormat="1" ht="11.25">
      <c r="A106" s="124">
        <v>96</v>
      </c>
      <c r="B106" s="141">
        <f>MIN(capacity,B105+pluie!E98*catch/1000-F106*dinm*1000)</f>
        <v>489799.2291358388</v>
      </c>
      <c r="C106" s="145">
        <f t="shared" si="20"/>
        <v>0.4897992291358388</v>
      </c>
      <c r="D106" s="140">
        <v>0.5</v>
      </c>
      <c r="E106" s="122">
        <f t="shared" si="34"/>
        <v>3.75</v>
      </c>
      <c r="F106" s="122">
        <f t="shared" si="35"/>
        <v>3.75</v>
      </c>
      <c r="G106" s="117">
        <f t="shared" si="21"/>
        <v>1</v>
      </c>
      <c r="H106" s="117">
        <f t="shared" si="22"/>
        <v>0</v>
      </c>
      <c r="I106" s="122">
        <f t="shared" si="23"/>
        <v>3.75</v>
      </c>
      <c r="J106" s="138">
        <f t="shared" si="24"/>
        <v>5.625</v>
      </c>
      <c r="K106" s="10"/>
      <c r="L106" s="141">
        <f t="shared" si="25"/>
        <v>69985.65775470277</v>
      </c>
      <c r="M106" s="117">
        <f t="shared" si="26"/>
        <v>1</v>
      </c>
      <c r="N106" s="117">
        <f t="shared" si="27"/>
        <v>0</v>
      </c>
      <c r="O106" s="141">
        <f t="shared" si="28"/>
        <v>5014.34224529723</v>
      </c>
      <c r="P106" s="142">
        <f t="shared" si="29"/>
        <v>75000</v>
      </c>
      <c r="Q106" s="10"/>
      <c r="R106" s="145">
        <f t="shared" si="30"/>
        <v>13.997131550940553</v>
      </c>
      <c r="S106" s="117">
        <f t="shared" si="31"/>
        <v>1</v>
      </c>
      <c r="T106" s="117">
        <f t="shared" si="36"/>
        <v>0</v>
      </c>
      <c r="U106" s="145">
        <f t="shared" si="37"/>
        <v>1.0028684490594468</v>
      </c>
      <c r="V106" s="137">
        <f t="shared" si="32"/>
        <v>15</v>
      </c>
      <c r="W106" s="137">
        <f t="shared" si="33"/>
        <v>30</v>
      </c>
      <c r="Z106" s="141">
        <f>IF(capacity&lt;B105+pluie!E98*catch/1000-F106*dinm*1000,-capacity+B105+pluie!E98*catch/1000-F106*dinm*1000,0)</f>
        <v>0</v>
      </c>
      <c r="AA106" s="141">
        <f t="shared" si="38"/>
        <v>0</v>
      </c>
      <c r="AB106" s="141">
        <f t="shared" si="39"/>
        <v>0</v>
      </c>
      <c r="AC106" s="10"/>
    </row>
    <row r="107" spans="1:29" s="7" customFormat="1" ht="11.25">
      <c r="A107" s="124">
        <v>97</v>
      </c>
      <c r="B107" s="141">
        <f>MIN(capacity,B106+pluie!E99*catch/1000-F107*dinm*1000)</f>
        <v>757654.6824139182</v>
      </c>
      <c r="C107" s="145">
        <f t="shared" si="20"/>
        <v>0.7576546824139182</v>
      </c>
      <c r="D107" s="140">
        <v>0.5</v>
      </c>
      <c r="E107" s="122">
        <f t="shared" si="34"/>
        <v>3.75</v>
      </c>
      <c r="F107" s="122">
        <f t="shared" si="35"/>
        <v>3.75</v>
      </c>
      <c r="G107" s="117">
        <f t="shared" si="21"/>
        <v>1</v>
      </c>
      <c r="H107" s="117">
        <f t="shared" si="22"/>
        <v>0</v>
      </c>
      <c r="I107" s="122">
        <f t="shared" si="23"/>
        <v>3.75</v>
      </c>
      <c r="J107" s="138">
        <f t="shared" si="24"/>
        <v>5.625</v>
      </c>
      <c r="K107" s="10"/>
      <c r="L107" s="141">
        <f t="shared" si="25"/>
        <v>87043.36174654092</v>
      </c>
      <c r="M107" s="117">
        <f t="shared" si="26"/>
        <v>0</v>
      </c>
      <c r="N107" s="117">
        <f t="shared" si="27"/>
        <v>1</v>
      </c>
      <c r="O107" s="141">
        <f t="shared" si="28"/>
        <v>0</v>
      </c>
      <c r="P107" s="142">
        <f t="shared" si="29"/>
        <v>75000</v>
      </c>
      <c r="Q107" s="10"/>
      <c r="R107" s="145">
        <f t="shared" si="30"/>
        <v>17.408672349308183</v>
      </c>
      <c r="S107" s="117">
        <f t="shared" si="31"/>
        <v>0</v>
      </c>
      <c r="T107" s="117">
        <f t="shared" si="36"/>
        <v>1</v>
      </c>
      <c r="U107" s="145">
        <f t="shared" si="37"/>
        <v>0</v>
      </c>
      <c r="V107" s="137">
        <f t="shared" si="32"/>
        <v>15</v>
      </c>
      <c r="W107" s="137">
        <f t="shared" si="33"/>
        <v>30</v>
      </c>
      <c r="Z107" s="141">
        <f>IF(capacity&lt;B106+pluie!E99*catch/1000-F107*dinm*1000,-capacity+B106+pluie!E99*catch/1000-F107*dinm*1000,0)</f>
        <v>0</v>
      </c>
      <c r="AA107" s="141">
        <f t="shared" si="38"/>
        <v>0</v>
      </c>
      <c r="AB107" s="141">
        <f t="shared" si="39"/>
        <v>0</v>
      </c>
      <c r="AC107" s="10"/>
    </row>
    <row r="108" spans="1:29" s="7" customFormat="1" ht="11.25">
      <c r="A108" s="124">
        <v>98</v>
      </c>
      <c r="B108" s="141">
        <f>MIN(capacity,B107+pluie!E100*catch/1000-F108*dinm*1000)</f>
        <v>1000000</v>
      </c>
      <c r="C108" s="145">
        <f t="shared" si="20"/>
        <v>1</v>
      </c>
      <c r="D108" s="140">
        <v>0.5</v>
      </c>
      <c r="E108" s="122">
        <f t="shared" si="34"/>
        <v>7.5</v>
      </c>
      <c r="F108" s="122">
        <f t="shared" si="35"/>
        <v>7.5</v>
      </c>
      <c r="G108" s="117">
        <f t="shared" si="21"/>
        <v>0</v>
      </c>
      <c r="H108" s="117">
        <f t="shared" si="22"/>
        <v>1</v>
      </c>
      <c r="I108" s="122">
        <f t="shared" si="23"/>
        <v>0</v>
      </c>
      <c r="J108" s="138">
        <f t="shared" si="24"/>
        <v>5.625</v>
      </c>
      <c r="K108" s="10"/>
      <c r="L108" s="141">
        <f t="shared" si="25"/>
        <v>100000</v>
      </c>
      <c r="M108" s="117">
        <f t="shared" si="26"/>
        <v>0</v>
      </c>
      <c r="N108" s="117">
        <f t="shared" si="27"/>
        <v>0</v>
      </c>
      <c r="O108" s="141">
        <f t="shared" si="28"/>
        <v>0</v>
      </c>
      <c r="P108" s="142">
        <f t="shared" si="29"/>
        <v>75000</v>
      </c>
      <c r="Q108" s="10"/>
      <c r="R108" s="145">
        <f t="shared" si="30"/>
        <v>20</v>
      </c>
      <c r="S108" s="117">
        <f t="shared" si="31"/>
        <v>0</v>
      </c>
      <c r="T108" s="117">
        <f t="shared" si="36"/>
        <v>0</v>
      </c>
      <c r="U108" s="145">
        <f t="shared" si="37"/>
        <v>0</v>
      </c>
      <c r="V108" s="137">
        <f t="shared" si="32"/>
        <v>15</v>
      </c>
      <c r="W108" s="137">
        <f t="shared" si="33"/>
        <v>30</v>
      </c>
      <c r="Z108" s="141">
        <f>IF(capacity&lt;B107+pluie!E100*catch/1000-F108*dinm*1000,-capacity+B107+pluie!E100*catch/1000-F108*dinm*1000,0)</f>
        <v>226138.07611570682</v>
      </c>
      <c r="AA108" s="141">
        <f t="shared" si="38"/>
        <v>1</v>
      </c>
      <c r="AB108" s="141">
        <f t="shared" si="39"/>
        <v>0</v>
      </c>
      <c r="AC108" s="10"/>
    </row>
    <row r="109" spans="1:29" s="7" customFormat="1" ht="11.25">
      <c r="A109" s="124">
        <v>99</v>
      </c>
      <c r="B109" s="141">
        <f>MIN(capacity,B108+pluie!E101*catch/1000-F109*dinm*1000)</f>
        <v>771875</v>
      </c>
      <c r="C109" s="145">
        <f t="shared" si="20"/>
        <v>0.771875</v>
      </c>
      <c r="D109" s="140">
        <v>0.5</v>
      </c>
      <c r="E109" s="122">
        <f t="shared" si="34"/>
        <v>7.5</v>
      </c>
      <c r="F109" s="122">
        <f t="shared" si="35"/>
        <v>7.5</v>
      </c>
      <c r="G109" s="117">
        <f t="shared" si="21"/>
        <v>0</v>
      </c>
      <c r="H109" s="117">
        <f t="shared" si="22"/>
        <v>0</v>
      </c>
      <c r="I109" s="122">
        <f t="shared" si="23"/>
        <v>0</v>
      </c>
      <c r="J109" s="138">
        <f t="shared" si="24"/>
        <v>5.625</v>
      </c>
      <c r="K109" s="10"/>
      <c r="L109" s="141">
        <f t="shared" si="25"/>
        <v>87856.4169540279</v>
      </c>
      <c r="M109" s="117">
        <f t="shared" si="26"/>
        <v>0</v>
      </c>
      <c r="N109" s="117">
        <f t="shared" si="27"/>
        <v>0</v>
      </c>
      <c r="O109" s="141">
        <f t="shared" si="28"/>
        <v>0</v>
      </c>
      <c r="P109" s="142">
        <f t="shared" si="29"/>
        <v>75000</v>
      </c>
      <c r="Q109" s="10"/>
      <c r="R109" s="145">
        <f t="shared" si="30"/>
        <v>17.57128339080558</v>
      </c>
      <c r="S109" s="117">
        <f t="shared" si="31"/>
        <v>0</v>
      </c>
      <c r="T109" s="117">
        <f t="shared" si="36"/>
        <v>0</v>
      </c>
      <c r="U109" s="145">
        <f t="shared" si="37"/>
        <v>0</v>
      </c>
      <c r="V109" s="137">
        <f t="shared" si="32"/>
        <v>15</v>
      </c>
      <c r="W109" s="137">
        <f t="shared" si="33"/>
        <v>30</v>
      </c>
      <c r="Z109" s="141">
        <f>IF(capacity&lt;B108+pluie!E101*catch/1000-F109*dinm*1000,-capacity+B108+pluie!E101*catch/1000-F109*dinm*1000,0)</f>
        <v>0</v>
      </c>
      <c r="AA109" s="141">
        <f t="shared" si="38"/>
        <v>0</v>
      </c>
      <c r="AB109" s="141">
        <f t="shared" si="39"/>
        <v>1</v>
      </c>
      <c r="AC109" s="10"/>
    </row>
    <row r="110" spans="1:29" s="7" customFormat="1" ht="11.25">
      <c r="A110" s="124">
        <v>100</v>
      </c>
      <c r="B110" s="141">
        <f>MIN(capacity,B109+pluie!E102*catch/1000-F110*dinm*1000)</f>
        <v>543750</v>
      </c>
      <c r="C110" s="145">
        <f t="shared" si="20"/>
        <v>0.54375</v>
      </c>
      <c r="D110" s="140">
        <v>0.5</v>
      </c>
      <c r="E110" s="122">
        <f t="shared" si="34"/>
        <v>7.5</v>
      </c>
      <c r="F110" s="122">
        <f t="shared" si="35"/>
        <v>7.5</v>
      </c>
      <c r="G110" s="117">
        <f t="shared" si="21"/>
        <v>0</v>
      </c>
      <c r="H110" s="117">
        <f t="shared" si="22"/>
        <v>0</v>
      </c>
      <c r="I110" s="122">
        <f t="shared" si="23"/>
        <v>0</v>
      </c>
      <c r="J110" s="138">
        <f t="shared" si="24"/>
        <v>5.625</v>
      </c>
      <c r="K110" s="10"/>
      <c r="L110" s="141">
        <f t="shared" si="25"/>
        <v>73739.40601876314</v>
      </c>
      <c r="M110" s="117">
        <f t="shared" si="26"/>
        <v>1</v>
      </c>
      <c r="N110" s="117">
        <f t="shared" si="27"/>
        <v>0</v>
      </c>
      <c r="O110" s="141">
        <f t="shared" si="28"/>
        <v>1260.5939812368597</v>
      </c>
      <c r="P110" s="142">
        <f t="shared" si="29"/>
        <v>75000</v>
      </c>
      <c r="Q110" s="10"/>
      <c r="R110" s="145">
        <f t="shared" si="30"/>
        <v>14.747881203752625</v>
      </c>
      <c r="S110" s="117">
        <f t="shared" si="31"/>
        <v>1</v>
      </c>
      <c r="T110" s="117">
        <f t="shared" si="36"/>
        <v>0</v>
      </c>
      <c r="U110" s="145">
        <f t="shared" si="37"/>
        <v>0.252118796247375</v>
      </c>
      <c r="V110" s="137">
        <f t="shared" si="32"/>
        <v>15</v>
      </c>
      <c r="W110" s="137">
        <f t="shared" si="33"/>
        <v>30</v>
      </c>
      <c r="Z110" s="141">
        <f>IF(capacity&lt;B109+pluie!E102*catch/1000-F110*dinm*1000,-capacity+B109+pluie!E102*catch/1000-F110*dinm*1000,0)</f>
        <v>0</v>
      </c>
      <c r="AA110" s="141">
        <f t="shared" si="38"/>
        <v>0</v>
      </c>
      <c r="AB110" s="141">
        <f t="shared" si="39"/>
        <v>0</v>
      </c>
      <c r="AC110" s="10"/>
    </row>
    <row r="111" spans="1:29" s="7" customFormat="1" ht="11.25">
      <c r="A111" s="124">
        <v>101</v>
      </c>
      <c r="B111" s="141">
        <f>MIN(capacity,B110+pluie!E103*catch/1000-F111*dinm*1000)</f>
        <v>428016.60629821126</v>
      </c>
      <c r="C111" s="145">
        <f t="shared" si="20"/>
        <v>0.42801660629821126</v>
      </c>
      <c r="D111" s="140">
        <v>0.5</v>
      </c>
      <c r="E111" s="122">
        <f t="shared" si="34"/>
        <v>7.5</v>
      </c>
      <c r="F111" s="122">
        <f t="shared" si="35"/>
        <v>7.5</v>
      </c>
      <c r="G111" s="117">
        <f t="shared" si="21"/>
        <v>0</v>
      </c>
      <c r="H111" s="117">
        <f t="shared" si="22"/>
        <v>0</v>
      </c>
      <c r="I111" s="122">
        <f t="shared" si="23"/>
        <v>0</v>
      </c>
      <c r="J111" s="138">
        <f t="shared" si="24"/>
        <v>5.625</v>
      </c>
      <c r="K111" s="10"/>
      <c r="L111" s="141">
        <f t="shared" si="25"/>
        <v>65422.978096247745</v>
      </c>
      <c r="M111" s="117">
        <f t="shared" si="26"/>
        <v>1</v>
      </c>
      <c r="N111" s="117">
        <f t="shared" si="27"/>
        <v>0</v>
      </c>
      <c r="O111" s="141">
        <f t="shared" si="28"/>
        <v>9577.021903752255</v>
      </c>
      <c r="P111" s="142">
        <f t="shared" si="29"/>
        <v>75000</v>
      </c>
      <c r="Q111" s="10"/>
      <c r="R111" s="145">
        <f t="shared" si="30"/>
        <v>13.08459561924955</v>
      </c>
      <c r="S111" s="117">
        <f t="shared" si="31"/>
        <v>1</v>
      </c>
      <c r="T111" s="117">
        <f t="shared" si="36"/>
        <v>0</v>
      </c>
      <c r="U111" s="145">
        <f t="shared" si="37"/>
        <v>1.9154043807504504</v>
      </c>
      <c r="V111" s="137">
        <f t="shared" si="32"/>
        <v>15</v>
      </c>
      <c r="W111" s="137">
        <f t="shared" si="33"/>
        <v>30</v>
      </c>
      <c r="Z111" s="141">
        <f>IF(capacity&lt;B110+pluie!E103*catch/1000-F111*dinm*1000,-capacity+B110+pluie!E103*catch/1000-F111*dinm*1000,0)</f>
        <v>0</v>
      </c>
      <c r="AA111" s="141">
        <f t="shared" si="38"/>
        <v>0</v>
      </c>
      <c r="AB111" s="141">
        <f t="shared" si="39"/>
        <v>0</v>
      </c>
      <c r="AC111" s="10"/>
    </row>
    <row r="112" spans="1:29" s="7" customFormat="1" ht="11.25">
      <c r="A112" s="124">
        <v>102</v>
      </c>
      <c r="B112" s="141">
        <f>MIN(capacity,B111+pluie!E104*catch/1000-F112*dinm*1000)</f>
        <v>313954.10629821126</v>
      </c>
      <c r="C112" s="145">
        <f t="shared" si="20"/>
        <v>0.31395410629821124</v>
      </c>
      <c r="D112" s="140">
        <v>0.5</v>
      </c>
      <c r="E112" s="122">
        <f t="shared" si="34"/>
        <v>3.75</v>
      </c>
      <c r="F112" s="122">
        <f t="shared" si="35"/>
        <v>3.75</v>
      </c>
      <c r="G112" s="117">
        <f t="shared" si="21"/>
        <v>1</v>
      </c>
      <c r="H112" s="117">
        <f t="shared" si="22"/>
        <v>0</v>
      </c>
      <c r="I112" s="122">
        <f t="shared" si="23"/>
        <v>3.75</v>
      </c>
      <c r="J112" s="138">
        <f t="shared" si="24"/>
        <v>5.625</v>
      </c>
      <c r="K112" s="10"/>
      <c r="L112" s="141">
        <f t="shared" si="25"/>
        <v>56031.60771370132</v>
      </c>
      <c r="M112" s="117">
        <f t="shared" si="26"/>
        <v>1</v>
      </c>
      <c r="N112" s="117">
        <f t="shared" si="27"/>
        <v>0</v>
      </c>
      <c r="O112" s="141">
        <f t="shared" si="28"/>
        <v>18968.39228629868</v>
      </c>
      <c r="P112" s="142">
        <f t="shared" si="29"/>
        <v>75000</v>
      </c>
      <c r="Q112" s="10"/>
      <c r="R112" s="145">
        <f t="shared" si="30"/>
        <v>11.206321542740262</v>
      </c>
      <c r="S112" s="117">
        <f t="shared" si="31"/>
        <v>1</v>
      </c>
      <c r="T112" s="117">
        <f t="shared" si="36"/>
        <v>0</v>
      </c>
      <c r="U112" s="145">
        <f t="shared" si="37"/>
        <v>3.7936784572597375</v>
      </c>
      <c r="V112" s="137">
        <f t="shared" si="32"/>
        <v>15</v>
      </c>
      <c r="W112" s="137">
        <f t="shared" si="33"/>
        <v>30</v>
      </c>
      <c r="Z112" s="141">
        <f>IF(capacity&lt;B111+pluie!E104*catch/1000-F112*dinm*1000,-capacity+B111+pluie!E104*catch/1000-F112*dinm*1000,0)</f>
        <v>0</v>
      </c>
      <c r="AA112" s="141">
        <f t="shared" si="38"/>
        <v>0</v>
      </c>
      <c r="AB112" s="141">
        <f t="shared" si="39"/>
        <v>0</v>
      </c>
      <c r="AC112" s="10"/>
    </row>
    <row r="113" spans="1:29" s="7" customFormat="1" ht="11.25">
      <c r="A113" s="124">
        <v>103</v>
      </c>
      <c r="B113" s="141">
        <f>MIN(capacity,B112+pluie!E105*catch/1000-F113*dinm*1000)</f>
        <v>436836.31806750386</v>
      </c>
      <c r="C113" s="145">
        <f t="shared" si="20"/>
        <v>0.43683631806750384</v>
      </c>
      <c r="D113" s="140">
        <v>0.5</v>
      </c>
      <c r="E113" s="122">
        <f t="shared" si="34"/>
        <v>3.75</v>
      </c>
      <c r="F113" s="122">
        <f t="shared" si="35"/>
        <v>3.75</v>
      </c>
      <c r="G113" s="117">
        <f t="shared" si="21"/>
        <v>1</v>
      </c>
      <c r="H113" s="117">
        <f t="shared" si="22"/>
        <v>0</v>
      </c>
      <c r="I113" s="122">
        <f t="shared" si="23"/>
        <v>3.75</v>
      </c>
      <c r="J113" s="138">
        <f t="shared" si="24"/>
        <v>5.625</v>
      </c>
      <c r="K113" s="10"/>
      <c r="L113" s="141">
        <f t="shared" si="25"/>
        <v>66093.59409712139</v>
      </c>
      <c r="M113" s="117">
        <f t="shared" si="26"/>
        <v>1</v>
      </c>
      <c r="N113" s="117">
        <f t="shared" si="27"/>
        <v>0</v>
      </c>
      <c r="O113" s="141">
        <f t="shared" si="28"/>
        <v>8906.405902878614</v>
      </c>
      <c r="P113" s="142">
        <f t="shared" si="29"/>
        <v>75000</v>
      </c>
      <c r="Q113" s="10"/>
      <c r="R113" s="145">
        <f t="shared" si="30"/>
        <v>13.218718819424277</v>
      </c>
      <c r="S113" s="117">
        <f t="shared" si="31"/>
        <v>1</v>
      </c>
      <c r="T113" s="117">
        <f t="shared" si="36"/>
        <v>0</v>
      </c>
      <c r="U113" s="145">
        <f t="shared" si="37"/>
        <v>1.7812811805757232</v>
      </c>
      <c r="V113" s="137">
        <f t="shared" si="32"/>
        <v>15</v>
      </c>
      <c r="W113" s="137">
        <f t="shared" si="33"/>
        <v>30</v>
      </c>
      <c r="Z113" s="141">
        <f>IF(capacity&lt;B112+pluie!E105*catch/1000-F113*dinm*1000,-capacity+B112+pluie!E105*catch/1000-F113*dinm*1000,0)</f>
        <v>0</v>
      </c>
      <c r="AA113" s="141">
        <f t="shared" si="38"/>
        <v>0</v>
      </c>
      <c r="AB113" s="141">
        <f t="shared" si="39"/>
        <v>0</v>
      </c>
      <c r="AC113" s="10"/>
    </row>
    <row r="114" spans="1:29" s="7" customFormat="1" ht="11.25">
      <c r="A114" s="124">
        <v>104</v>
      </c>
      <c r="B114" s="141">
        <f>MIN(capacity,B113+pluie!E106*catch/1000-F114*dinm*1000)</f>
        <v>988790.1818513595</v>
      </c>
      <c r="C114" s="145">
        <f t="shared" si="20"/>
        <v>0.9887901818513596</v>
      </c>
      <c r="D114" s="140">
        <v>0.5</v>
      </c>
      <c r="E114" s="122">
        <f t="shared" si="34"/>
        <v>3.75</v>
      </c>
      <c r="F114" s="122">
        <f t="shared" si="35"/>
        <v>3.75</v>
      </c>
      <c r="G114" s="117">
        <f t="shared" si="21"/>
        <v>1</v>
      </c>
      <c r="H114" s="117">
        <f t="shared" si="22"/>
        <v>0</v>
      </c>
      <c r="I114" s="122">
        <f t="shared" si="23"/>
        <v>3.75</v>
      </c>
      <c r="J114" s="138">
        <f t="shared" si="24"/>
        <v>5.625</v>
      </c>
      <c r="K114" s="10"/>
      <c r="L114" s="141">
        <f t="shared" si="25"/>
        <v>99437.92947619935</v>
      </c>
      <c r="M114" s="117">
        <f t="shared" si="26"/>
        <v>0</v>
      </c>
      <c r="N114" s="117">
        <f t="shared" si="27"/>
        <v>1</v>
      </c>
      <c r="O114" s="141">
        <f t="shared" si="28"/>
        <v>0</v>
      </c>
      <c r="P114" s="142">
        <f t="shared" si="29"/>
        <v>75000</v>
      </c>
      <c r="Q114" s="10"/>
      <c r="R114" s="145">
        <f t="shared" si="30"/>
        <v>19.88758589523987</v>
      </c>
      <c r="S114" s="117">
        <f t="shared" si="31"/>
        <v>0</v>
      </c>
      <c r="T114" s="117">
        <f t="shared" si="36"/>
        <v>1</v>
      </c>
      <c r="U114" s="145">
        <f t="shared" si="37"/>
        <v>0</v>
      </c>
      <c r="V114" s="137">
        <f t="shared" si="32"/>
        <v>15</v>
      </c>
      <c r="W114" s="137">
        <f t="shared" si="33"/>
        <v>30</v>
      </c>
      <c r="Z114" s="141">
        <f>IF(capacity&lt;B113+pluie!E106*catch/1000-F114*dinm*1000,-capacity+B113+pluie!E106*catch/1000-F114*dinm*1000,0)</f>
        <v>0</v>
      </c>
      <c r="AA114" s="141">
        <f t="shared" si="38"/>
        <v>0</v>
      </c>
      <c r="AB114" s="141">
        <f t="shared" si="39"/>
        <v>0</v>
      </c>
      <c r="AC114" s="10"/>
    </row>
    <row r="115" spans="1:29" s="7" customFormat="1" ht="11.25">
      <c r="A115" s="124">
        <v>105</v>
      </c>
      <c r="B115" s="141">
        <f>MIN(capacity,B114+pluie!E107*catch/1000-F115*dinm*1000)</f>
        <v>760665.1818513595</v>
      </c>
      <c r="C115" s="145">
        <f t="shared" si="20"/>
        <v>0.7606651818513596</v>
      </c>
      <c r="D115" s="140">
        <v>0.5</v>
      </c>
      <c r="E115" s="122">
        <f t="shared" si="34"/>
        <v>7.5</v>
      </c>
      <c r="F115" s="122">
        <f t="shared" si="35"/>
        <v>7.5</v>
      </c>
      <c r="G115" s="117">
        <f t="shared" si="21"/>
        <v>0</v>
      </c>
      <c r="H115" s="117">
        <f t="shared" si="22"/>
        <v>1</v>
      </c>
      <c r="I115" s="122">
        <f t="shared" si="23"/>
        <v>0</v>
      </c>
      <c r="J115" s="138">
        <f t="shared" si="24"/>
        <v>5.625</v>
      </c>
      <c r="K115" s="10"/>
      <c r="L115" s="141">
        <f t="shared" si="25"/>
        <v>87216.12132234266</v>
      </c>
      <c r="M115" s="117">
        <f t="shared" si="26"/>
        <v>0</v>
      </c>
      <c r="N115" s="117">
        <f t="shared" si="27"/>
        <v>0</v>
      </c>
      <c r="O115" s="141">
        <f t="shared" si="28"/>
        <v>0</v>
      </c>
      <c r="P115" s="142">
        <f t="shared" si="29"/>
        <v>75000</v>
      </c>
      <c r="Q115" s="10"/>
      <c r="R115" s="145">
        <f t="shared" si="30"/>
        <v>17.443224264468533</v>
      </c>
      <c r="S115" s="117">
        <f t="shared" si="31"/>
        <v>0</v>
      </c>
      <c r="T115" s="117">
        <f t="shared" si="36"/>
        <v>0</v>
      </c>
      <c r="U115" s="145">
        <f t="shared" si="37"/>
        <v>0</v>
      </c>
      <c r="V115" s="137">
        <f t="shared" si="32"/>
        <v>15</v>
      </c>
      <c r="W115" s="137">
        <f t="shared" si="33"/>
        <v>30</v>
      </c>
      <c r="Z115" s="141">
        <f>IF(capacity&lt;B114+pluie!E107*catch/1000-F115*dinm*1000,-capacity+B114+pluie!E107*catch/1000-F115*dinm*1000,0)</f>
        <v>0</v>
      </c>
      <c r="AA115" s="141">
        <f t="shared" si="38"/>
        <v>0</v>
      </c>
      <c r="AB115" s="141">
        <f t="shared" si="39"/>
        <v>0</v>
      </c>
      <c r="AC115" s="10"/>
    </row>
    <row r="116" spans="1:29" s="7" customFormat="1" ht="11.25">
      <c r="A116" s="124">
        <v>106</v>
      </c>
      <c r="B116" s="141">
        <f>MIN(capacity,B115+pluie!E108*catch/1000-F116*dinm*1000)</f>
        <v>1000000</v>
      </c>
      <c r="C116" s="145">
        <f t="shared" si="20"/>
        <v>1</v>
      </c>
      <c r="D116" s="140">
        <v>0.5</v>
      </c>
      <c r="E116" s="122">
        <f t="shared" si="34"/>
        <v>7.5</v>
      </c>
      <c r="F116" s="122">
        <f t="shared" si="35"/>
        <v>7.5</v>
      </c>
      <c r="G116" s="117">
        <f t="shared" si="21"/>
        <v>0</v>
      </c>
      <c r="H116" s="117">
        <f t="shared" si="22"/>
        <v>0</v>
      </c>
      <c r="I116" s="122">
        <f t="shared" si="23"/>
        <v>0</v>
      </c>
      <c r="J116" s="138">
        <f t="shared" si="24"/>
        <v>5.625</v>
      </c>
      <c r="K116" s="10"/>
      <c r="L116" s="141">
        <f t="shared" si="25"/>
        <v>100000</v>
      </c>
      <c r="M116" s="117">
        <f t="shared" si="26"/>
        <v>0</v>
      </c>
      <c r="N116" s="117">
        <f t="shared" si="27"/>
        <v>0</v>
      </c>
      <c r="O116" s="141">
        <f t="shared" si="28"/>
        <v>0</v>
      </c>
      <c r="P116" s="142">
        <f t="shared" si="29"/>
        <v>75000</v>
      </c>
      <c r="Q116" s="10"/>
      <c r="R116" s="145">
        <f t="shared" si="30"/>
        <v>20</v>
      </c>
      <c r="S116" s="117">
        <f t="shared" si="31"/>
        <v>0</v>
      </c>
      <c r="T116" s="117">
        <f t="shared" si="36"/>
        <v>0</v>
      </c>
      <c r="U116" s="145">
        <f t="shared" si="37"/>
        <v>0</v>
      </c>
      <c r="V116" s="137">
        <f t="shared" si="32"/>
        <v>15</v>
      </c>
      <c r="W116" s="137">
        <f t="shared" si="33"/>
        <v>30</v>
      </c>
      <c r="Z116" s="141">
        <f>IF(capacity&lt;B115+pluie!E108*catch/1000-F116*dinm*1000,-capacity+B115+pluie!E108*catch/1000-F116*dinm*1000,0)</f>
        <v>70257.54074592493</v>
      </c>
      <c r="AA116" s="141">
        <f t="shared" si="38"/>
        <v>1</v>
      </c>
      <c r="AB116" s="141">
        <f t="shared" si="39"/>
        <v>0</v>
      </c>
      <c r="AC116" s="10"/>
    </row>
    <row r="117" spans="1:29" s="7" customFormat="1" ht="11.25">
      <c r="A117" s="124">
        <v>107</v>
      </c>
      <c r="B117" s="141">
        <f>MIN(capacity,B116+pluie!E109*catch/1000-F117*dinm*1000)</f>
        <v>1000000</v>
      </c>
      <c r="C117" s="145">
        <f t="shared" si="20"/>
        <v>1</v>
      </c>
      <c r="D117" s="140">
        <v>0.5</v>
      </c>
      <c r="E117" s="122">
        <f t="shared" si="34"/>
        <v>7.5</v>
      </c>
      <c r="F117" s="122">
        <f t="shared" si="35"/>
        <v>7.5</v>
      </c>
      <c r="G117" s="117">
        <f t="shared" si="21"/>
        <v>0</v>
      </c>
      <c r="H117" s="117">
        <f t="shared" si="22"/>
        <v>0</v>
      </c>
      <c r="I117" s="122">
        <f t="shared" si="23"/>
        <v>0</v>
      </c>
      <c r="J117" s="138">
        <f t="shared" si="24"/>
        <v>5.625</v>
      </c>
      <c r="K117" s="10"/>
      <c r="L117" s="141">
        <f t="shared" si="25"/>
        <v>100000</v>
      </c>
      <c r="M117" s="117">
        <f t="shared" si="26"/>
        <v>0</v>
      </c>
      <c r="N117" s="117">
        <f t="shared" si="27"/>
        <v>0</v>
      </c>
      <c r="O117" s="141">
        <f t="shared" si="28"/>
        <v>0</v>
      </c>
      <c r="P117" s="142">
        <f t="shared" si="29"/>
        <v>75000</v>
      </c>
      <c r="Q117" s="10"/>
      <c r="R117" s="145">
        <f t="shared" si="30"/>
        <v>20</v>
      </c>
      <c r="S117" s="117">
        <f t="shared" si="31"/>
        <v>0</v>
      </c>
      <c r="T117" s="117">
        <f t="shared" si="36"/>
        <v>0</v>
      </c>
      <c r="U117" s="145">
        <f t="shared" si="37"/>
        <v>0</v>
      </c>
      <c r="V117" s="137">
        <f t="shared" si="32"/>
        <v>15</v>
      </c>
      <c r="W117" s="137">
        <f t="shared" si="33"/>
        <v>30</v>
      </c>
      <c r="Z117" s="141">
        <f>IF(capacity&lt;B116+pluie!E109*catch/1000-F117*dinm*1000,-capacity+B116+pluie!E109*catch/1000-F117*dinm*1000,0)</f>
        <v>980107.5535561589</v>
      </c>
      <c r="AA117" s="141">
        <f t="shared" si="38"/>
        <v>1</v>
      </c>
      <c r="AB117" s="141">
        <f t="shared" si="39"/>
        <v>0</v>
      </c>
      <c r="AC117" s="10"/>
    </row>
    <row r="118" spans="1:29" s="7" customFormat="1" ht="11.25">
      <c r="A118" s="124">
        <v>108</v>
      </c>
      <c r="B118" s="141">
        <f>MIN(capacity,B117+pluie!E110*catch/1000-F118*dinm*1000)</f>
        <v>1000000</v>
      </c>
      <c r="C118" s="145">
        <f t="shared" si="20"/>
        <v>1</v>
      </c>
      <c r="D118" s="140">
        <v>0.5</v>
      </c>
      <c r="E118" s="122">
        <f t="shared" si="34"/>
        <v>7.5</v>
      </c>
      <c r="F118" s="122">
        <f t="shared" si="35"/>
        <v>7.5</v>
      </c>
      <c r="G118" s="117">
        <f t="shared" si="21"/>
        <v>0</v>
      </c>
      <c r="H118" s="117">
        <f t="shared" si="22"/>
        <v>0</v>
      </c>
      <c r="I118" s="122">
        <f t="shared" si="23"/>
        <v>0</v>
      </c>
      <c r="J118" s="138">
        <f t="shared" si="24"/>
        <v>5.625</v>
      </c>
      <c r="K118" s="10"/>
      <c r="L118" s="141">
        <f t="shared" si="25"/>
        <v>100000</v>
      </c>
      <c r="M118" s="117">
        <f t="shared" si="26"/>
        <v>0</v>
      </c>
      <c r="N118" s="117">
        <f t="shared" si="27"/>
        <v>0</v>
      </c>
      <c r="O118" s="141">
        <f t="shared" si="28"/>
        <v>0</v>
      </c>
      <c r="P118" s="142">
        <f t="shared" si="29"/>
        <v>75000</v>
      </c>
      <c r="Q118" s="10"/>
      <c r="R118" s="145">
        <f t="shared" si="30"/>
        <v>20</v>
      </c>
      <c r="S118" s="117">
        <f t="shared" si="31"/>
        <v>0</v>
      </c>
      <c r="T118" s="117">
        <f t="shared" si="36"/>
        <v>0</v>
      </c>
      <c r="U118" s="145">
        <f t="shared" si="37"/>
        <v>0</v>
      </c>
      <c r="V118" s="137">
        <f t="shared" si="32"/>
        <v>15</v>
      </c>
      <c r="W118" s="137">
        <f t="shared" si="33"/>
        <v>30</v>
      </c>
      <c r="Z118" s="141">
        <f>IF(capacity&lt;B117+pluie!E110*catch/1000-F118*dinm*1000,-capacity+B117+pluie!E110*catch/1000-F118*dinm*1000,0)</f>
        <v>643654.801766102</v>
      </c>
      <c r="AA118" s="141">
        <f t="shared" si="38"/>
        <v>1</v>
      </c>
      <c r="AB118" s="141">
        <f t="shared" si="39"/>
        <v>0</v>
      </c>
      <c r="AC118" s="10"/>
    </row>
    <row r="119" spans="1:29" s="7" customFormat="1" ht="11.25">
      <c r="A119" s="124">
        <v>109</v>
      </c>
      <c r="B119" s="141">
        <f>MIN(capacity,B118+pluie!E111*catch/1000-F119*dinm*1000)</f>
        <v>771875</v>
      </c>
      <c r="C119" s="145">
        <f t="shared" si="20"/>
        <v>0.771875</v>
      </c>
      <c r="D119" s="140">
        <v>0.5</v>
      </c>
      <c r="E119" s="122">
        <f t="shared" si="34"/>
        <v>7.5</v>
      </c>
      <c r="F119" s="122">
        <f t="shared" si="35"/>
        <v>7.5</v>
      </c>
      <c r="G119" s="117">
        <f t="shared" si="21"/>
        <v>0</v>
      </c>
      <c r="H119" s="117">
        <f t="shared" si="22"/>
        <v>0</v>
      </c>
      <c r="I119" s="122">
        <f t="shared" si="23"/>
        <v>0</v>
      </c>
      <c r="J119" s="138">
        <f t="shared" si="24"/>
        <v>5.625</v>
      </c>
      <c r="K119" s="10"/>
      <c r="L119" s="141">
        <f t="shared" si="25"/>
        <v>87856.4169540279</v>
      </c>
      <c r="M119" s="117">
        <f t="shared" si="26"/>
        <v>0</v>
      </c>
      <c r="N119" s="117">
        <f t="shared" si="27"/>
        <v>0</v>
      </c>
      <c r="O119" s="141">
        <f t="shared" si="28"/>
        <v>0</v>
      </c>
      <c r="P119" s="142">
        <f t="shared" si="29"/>
        <v>75000</v>
      </c>
      <c r="Q119" s="10"/>
      <c r="R119" s="145">
        <f t="shared" si="30"/>
        <v>17.57128339080558</v>
      </c>
      <c r="S119" s="117">
        <f t="shared" si="31"/>
        <v>0</v>
      </c>
      <c r="T119" s="117">
        <f t="shared" si="36"/>
        <v>0</v>
      </c>
      <c r="U119" s="145">
        <f t="shared" si="37"/>
        <v>0</v>
      </c>
      <c r="V119" s="137">
        <f t="shared" si="32"/>
        <v>15</v>
      </c>
      <c r="W119" s="137">
        <f t="shared" si="33"/>
        <v>30</v>
      </c>
      <c r="Z119" s="141">
        <f>IF(capacity&lt;B118+pluie!E111*catch/1000-F119*dinm*1000,-capacity+B118+pluie!E111*catch/1000-F119*dinm*1000,0)</f>
        <v>0</v>
      </c>
      <c r="AA119" s="141">
        <f t="shared" si="38"/>
        <v>0</v>
      </c>
      <c r="AB119" s="141">
        <f t="shared" si="39"/>
        <v>1</v>
      </c>
      <c r="AC119" s="10"/>
    </row>
    <row r="120" spans="1:29" s="7" customFormat="1" ht="11.25">
      <c r="A120" s="124">
        <v>110</v>
      </c>
      <c r="B120" s="141">
        <f>MIN(capacity,B119+pluie!E112*catch/1000-F120*dinm*1000)</f>
        <v>1000000</v>
      </c>
      <c r="C120" s="145">
        <f t="shared" si="20"/>
        <v>1</v>
      </c>
      <c r="D120" s="140">
        <v>0.5</v>
      </c>
      <c r="E120" s="122">
        <f t="shared" si="34"/>
        <v>7.5</v>
      </c>
      <c r="F120" s="122">
        <f t="shared" si="35"/>
        <v>7.5</v>
      </c>
      <c r="G120" s="117">
        <f t="shared" si="21"/>
        <v>0</v>
      </c>
      <c r="H120" s="117">
        <f t="shared" si="22"/>
        <v>0</v>
      </c>
      <c r="I120" s="122">
        <f t="shared" si="23"/>
        <v>0</v>
      </c>
      <c r="J120" s="138">
        <f t="shared" si="24"/>
        <v>5.625</v>
      </c>
      <c r="K120" s="10"/>
      <c r="L120" s="141">
        <f t="shared" si="25"/>
        <v>100000</v>
      </c>
      <c r="M120" s="117">
        <f t="shared" si="26"/>
        <v>0</v>
      </c>
      <c r="N120" s="117">
        <f t="shared" si="27"/>
        <v>0</v>
      </c>
      <c r="O120" s="141">
        <f t="shared" si="28"/>
        <v>0</v>
      </c>
      <c r="P120" s="142">
        <f t="shared" si="29"/>
        <v>75000</v>
      </c>
      <c r="Q120" s="10"/>
      <c r="R120" s="145">
        <f t="shared" si="30"/>
        <v>20</v>
      </c>
      <c r="S120" s="117">
        <f t="shared" si="31"/>
        <v>0</v>
      </c>
      <c r="T120" s="117">
        <f t="shared" si="36"/>
        <v>0</v>
      </c>
      <c r="U120" s="145">
        <f t="shared" si="37"/>
        <v>0</v>
      </c>
      <c r="V120" s="137">
        <f t="shared" si="32"/>
        <v>15</v>
      </c>
      <c r="W120" s="137">
        <f t="shared" si="33"/>
        <v>30</v>
      </c>
      <c r="Z120" s="141">
        <f>IF(capacity&lt;B119+pluie!E112*catch/1000-F120*dinm*1000,-capacity+B119+pluie!E112*catch/1000-F120*dinm*1000,0)</f>
        <v>1359358.3937017885</v>
      </c>
      <c r="AA120" s="141">
        <f t="shared" si="38"/>
        <v>1</v>
      </c>
      <c r="AB120" s="141">
        <f t="shared" si="39"/>
        <v>0</v>
      </c>
      <c r="AC120" s="10"/>
    </row>
    <row r="121" spans="1:29" s="7" customFormat="1" ht="11.25">
      <c r="A121" s="124">
        <v>111</v>
      </c>
      <c r="B121" s="141">
        <f>MIN(capacity,B120+pluie!E113*catch/1000-F121*dinm*1000)</f>
        <v>1000000</v>
      </c>
      <c r="C121" s="145">
        <f t="shared" si="20"/>
        <v>1</v>
      </c>
      <c r="D121" s="140">
        <v>0.5</v>
      </c>
      <c r="E121" s="122">
        <f t="shared" si="34"/>
        <v>7.5</v>
      </c>
      <c r="F121" s="122">
        <f t="shared" si="35"/>
        <v>7.5</v>
      </c>
      <c r="G121" s="117">
        <f t="shared" si="21"/>
        <v>0</v>
      </c>
      <c r="H121" s="117">
        <f t="shared" si="22"/>
        <v>0</v>
      </c>
      <c r="I121" s="122">
        <f t="shared" si="23"/>
        <v>0</v>
      </c>
      <c r="J121" s="138">
        <f t="shared" si="24"/>
        <v>5.625</v>
      </c>
      <c r="K121" s="10"/>
      <c r="L121" s="141">
        <f t="shared" si="25"/>
        <v>100000</v>
      </c>
      <c r="M121" s="117">
        <f t="shared" si="26"/>
        <v>0</v>
      </c>
      <c r="N121" s="117">
        <f t="shared" si="27"/>
        <v>0</v>
      </c>
      <c r="O121" s="141">
        <f t="shared" si="28"/>
        <v>0</v>
      </c>
      <c r="P121" s="142">
        <f t="shared" si="29"/>
        <v>75000</v>
      </c>
      <c r="Q121" s="10"/>
      <c r="R121" s="145">
        <f t="shared" si="30"/>
        <v>20</v>
      </c>
      <c r="S121" s="117">
        <f t="shared" si="31"/>
        <v>0</v>
      </c>
      <c r="T121" s="117">
        <f t="shared" si="36"/>
        <v>0</v>
      </c>
      <c r="U121" s="145">
        <f t="shared" si="37"/>
        <v>0</v>
      </c>
      <c r="V121" s="137">
        <f t="shared" si="32"/>
        <v>15</v>
      </c>
      <c r="W121" s="137">
        <f t="shared" si="33"/>
        <v>30</v>
      </c>
      <c r="Z121" s="141">
        <f>IF(capacity&lt;B120+pluie!E113*catch/1000-F121*dinm*1000,-capacity+B120+pluie!E113*catch/1000-F121*dinm*1000,0)</f>
        <v>295105.28135126736</v>
      </c>
      <c r="AA121" s="141">
        <f t="shared" si="38"/>
        <v>1</v>
      </c>
      <c r="AB121" s="141">
        <f t="shared" si="39"/>
        <v>0</v>
      </c>
      <c r="AC121" s="10"/>
    </row>
    <row r="122" spans="1:29" s="7" customFormat="1" ht="11.25">
      <c r="A122" s="124">
        <v>112</v>
      </c>
      <c r="B122" s="141">
        <f>MIN(capacity,B121+pluie!E114*catch/1000-F122*dinm*1000)</f>
        <v>771875</v>
      </c>
      <c r="C122" s="145">
        <f t="shared" si="20"/>
        <v>0.771875</v>
      </c>
      <c r="D122" s="140">
        <v>0.5</v>
      </c>
      <c r="E122" s="122">
        <f t="shared" si="34"/>
        <v>7.5</v>
      </c>
      <c r="F122" s="122">
        <f t="shared" si="35"/>
        <v>7.5</v>
      </c>
      <c r="G122" s="117">
        <f t="shared" si="21"/>
        <v>0</v>
      </c>
      <c r="H122" s="117">
        <f t="shared" si="22"/>
        <v>0</v>
      </c>
      <c r="I122" s="122">
        <f t="shared" si="23"/>
        <v>0</v>
      </c>
      <c r="J122" s="138">
        <f t="shared" si="24"/>
        <v>5.625</v>
      </c>
      <c r="K122" s="10"/>
      <c r="L122" s="141">
        <f t="shared" si="25"/>
        <v>87856.4169540279</v>
      </c>
      <c r="M122" s="117">
        <f t="shared" si="26"/>
        <v>0</v>
      </c>
      <c r="N122" s="117">
        <f t="shared" si="27"/>
        <v>0</v>
      </c>
      <c r="O122" s="141">
        <f t="shared" si="28"/>
        <v>0</v>
      </c>
      <c r="P122" s="142">
        <f t="shared" si="29"/>
        <v>75000</v>
      </c>
      <c r="Q122" s="10"/>
      <c r="R122" s="145">
        <f t="shared" si="30"/>
        <v>17.57128339080558</v>
      </c>
      <c r="S122" s="117">
        <f t="shared" si="31"/>
        <v>0</v>
      </c>
      <c r="T122" s="117">
        <f t="shared" si="36"/>
        <v>0</v>
      </c>
      <c r="U122" s="145">
        <f t="shared" si="37"/>
        <v>0</v>
      </c>
      <c r="V122" s="137">
        <f t="shared" si="32"/>
        <v>15</v>
      </c>
      <c r="W122" s="137">
        <f t="shared" si="33"/>
        <v>30</v>
      </c>
      <c r="Z122" s="141">
        <f>IF(capacity&lt;B121+pluie!E114*catch/1000-F122*dinm*1000,-capacity+B121+pluie!E114*catch/1000-F122*dinm*1000,0)</f>
        <v>0</v>
      </c>
      <c r="AA122" s="141">
        <f t="shared" si="38"/>
        <v>0</v>
      </c>
      <c r="AB122" s="141">
        <f t="shared" si="39"/>
        <v>1</v>
      </c>
      <c r="AC122" s="10"/>
    </row>
    <row r="123" spans="1:29" s="7" customFormat="1" ht="11.25">
      <c r="A123" s="124">
        <v>113</v>
      </c>
      <c r="B123" s="141">
        <f>MIN(capacity,B122+pluie!E115*catch/1000-F123*dinm*1000)</f>
        <v>747141.6062982114</v>
      </c>
      <c r="C123" s="145">
        <f t="shared" si="20"/>
        <v>0.7471416062982114</v>
      </c>
      <c r="D123" s="140">
        <v>0.5</v>
      </c>
      <c r="E123" s="122">
        <f t="shared" si="34"/>
        <v>7.5</v>
      </c>
      <c r="F123" s="122">
        <f t="shared" si="35"/>
        <v>7.5</v>
      </c>
      <c r="G123" s="117">
        <f t="shared" si="21"/>
        <v>0</v>
      </c>
      <c r="H123" s="117">
        <f t="shared" si="22"/>
        <v>0</v>
      </c>
      <c r="I123" s="122">
        <f t="shared" si="23"/>
        <v>0</v>
      </c>
      <c r="J123" s="138">
        <f t="shared" si="24"/>
        <v>5.625</v>
      </c>
      <c r="K123" s="10"/>
      <c r="L123" s="141">
        <f t="shared" si="25"/>
        <v>86437.35340107373</v>
      </c>
      <c r="M123" s="117">
        <f t="shared" si="26"/>
        <v>0</v>
      </c>
      <c r="N123" s="117">
        <f t="shared" si="27"/>
        <v>0</v>
      </c>
      <c r="O123" s="141">
        <f t="shared" si="28"/>
        <v>0</v>
      </c>
      <c r="P123" s="142">
        <f t="shared" si="29"/>
        <v>75000</v>
      </c>
      <c r="Q123" s="10"/>
      <c r="R123" s="145">
        <f t="shared" si="30"/>
        <v>17.28747068021475</v>
      </c>
      <c r="S123" s="117">
        <f t="shared" si="31"/>
        <v>0</v>
      </c>
      <c r="T123" s="117">
        <f t="shared" si="36"/>
        <v>0</v>
      </c>
      <c r="U123" s="145">
        <f t="shared" si="37"/>
        <v>0</v>
      </c>
      <c r="V123" s="137">
        <f t="shared" si="32"/>
        <v>15</v>
      </c>
      <c r="W123" s="137">
        <f t="shared" si="33"/>
        <v>30</v>
      </c>
      <c r="Z123" s="141">
        <f>IF(capacity&lt;B122+pluie!E115*catch/1000-F123*dinm*1000,-capacity+B122+pluie!E115*catch/1000-F123*dinm*1000,0)</f>
        <v>0</v>
      </c>
      <c r="AA123" s="141">
        <f t="shared" si="38"/>
        <v>0</v>
      </c>
      <c r="AB123" s="141">
        <f t="shared" si="39"/>
        <v>0</v>
      </c>
      <c r="AC123" s="10"/>
    </row>
    <row r="124" spans="1:29" s="7" customFormat="1" ht="11.25">
      <c r="A124" s="124">
        <v>114</v>
      </c>
      <c r="B124" s="141">
        <f>MIN(capacity,B123+pluie!E116*catch/1000-F124*dinm*1000)</f>
        <v>579098.6530201322</v>
      </c>
      <c r="C124" s="145">
        <f t="shared" si="20"/>
        <v>0.5790986530201322</v>
      </c>
      <c r="D124" s="140">
        <v>0.5</v>
      </c>
      <c r="E124" s="122">
        <f t="shared" si="34"/>
        <v>7.5</v>
      </c>
      <c r="F124" s="122">
        <f t="shared" si="35"/>
        <v>7.5</v>
      </c>
      <c r="G124" s="117">
        <f t="shared" si="21"/>
        <v>0</v>
      </c>
      <c r="H124" s="117">
        <f t="shared" si="22"/>
        <v>0</v>
      </c>
      <c r="I124" s="122">
        <f t="shared" si="23"/>
        <v>0</v>
      </c>
      <c r="J124" s="138">
        <f t="shared" si="24"/>
        <v>5.625</v>
      </c>
      <c r="K124" s="10"/>
      <c r="L124" s="141">
        <f t="shared" si="25"/>
        <v>76098.53172171801</v>
      </c>
      <c r="M124" s="117">
        <f t="shared" si="26"/>
        <v>0</v>
      </c>
      <c r="N124" s="117">
        <f t="shared" si="27"/>
        <v>0</v>
      </c>
      <c r="O124" s="141">
        <f t="shared" si="28"/>
        <v>0</v>
      </c>
      <c r="P124" s="142">
        <f t="shared" si="29"/>
        <v>75000</v>
      </c>
      <c r="Q124" s="10"/>
      <c r="R124" s="145">
        <f t="shared" si="30"/>
        <v>15.219706344343603</v>
      </c>
      <c r="S124" s="117">
        <f t="shared" si="31"/>
        <v>0</v>
      </c>
      <c r="T124" s="117">
        <f t="shared" si="36"/>
        <v>0</v>
      </c>
      <c r="U124" s="145">
        <f t="shared" si="37"/>
        <v>0</v>
      </c>
      <c r="V124" s="137">
        <f t="shared" si="32"/>
        <v>15</v>
      </c>
      <c r="W124" s="137">
        <f t="shared" si="33"/>
        <v>30</v>
      </c>
      <c r="Z124" s="141">
        <f>IF(capacity&lt;B123+pluie!E116*catch/1000-F124*dinm*1000,-capacity+B123+pluie!E116*catch/1000-F124*dinm*1000,0)</f>
        <v>0</v>
      </c>
      <c r="AA124" s="141">
        <f t="shared" si="38"/>
        <v>0</v>
      </c>
      <c r="AB124" s="141">
        <f t="shared" si="39"/>
        <v>0</v>
      </c>
      <c r="AC124" s="10"/>
    </row>
    <row r="125" spans="1:29" s="7" customFormat="1" ht="11.25">
      <c r="A125" s="124">
        <v>115</v>
      </c>
      <c r="B125" s="141">
        <f>MIN(capacity,B124+pluie!E117*catch/1000-F125*dinm*1000)</f>
        <v>469918.3647894247</v>
      </c>
      <c r="C125" s="145">
        <f t="shared" si="20"/>
        <v>0.46991836478942467</v>
      </c>
      <c r="D125" s="140">
        <v>0.5</v>
      </c>
      <c r="E125" s="122">
        <f t="shared" si="34"/>
        <v>7.5</v>
      </c>
      <c r="F125" s="122">
        <f t="shared" si="35"/>
        <v>7.5</v>
      </c>
      <c r="G125" s="117">
        <f t="shared" si="21"/>
        <v>0</v>
      </c>
      <c r="H125" s="117">
        <f t="shared" si="22"/>
        <v>0</v>
      </c>
      <c r="I125" s="122">
        <f t="shared" si="23"/>
        <v>0</v>
      </c>
      <c r="J125" s="138">
        <f t="shared" si="24"/>
        <v>5.625</v>
      </c>
      <c r="K125" s="10"/>
      <c r="L125" s="141">
        <f t="shared" si="25"/>
        <v>68550.59188580539</v>
      </c>
      <c r="M125" s="117">
        <f t="shared" si="26"/>
        <v>1</v>
      </c>
      <c r="N125" s="117">
        <f t="shared" si="27"/>
        <v>0</v>
      </c>
      <c r="O125" s="141">
        <f t="shared" si="28"/>
        <v>6449.408114194608</v>
      </c>
      <c r="P125" s="142">
        <f t="shared" si="29"/>
        <v>75000</v>
      </c>
      <c r="Q125" s="10"/>
      <c r="R125" s="145">
        <f t="shared" si="30"/>
        <v>13.710118377161077</v>
      </c>
      <c r="S125" s="117">
        <f t="shared" si="31"/>
        <v>1</v>
      </c>
      <c r="T125" s="117">
        <f t="shared" si="36"/>
        <v>0</v>
      </c>
      <c r="U125" s="145">
        <f t="shared" si="37"/>
        <v>1.289881622838923</v>
      </c>
      <c r="V125" s="137">
        <f t="shared" si="32"/>
        <v>15</v>
      </c>
      <c r="W125" s="137">
        <f t="shared" si="33"/>
        <v>30</v>
      </c>
      <c r="Z125" s="141">
        <f>IF(capacity&lt;B124+pluie!E117*catch/1000-F125*dinm*1000,-capacity+B124+pluie!E117*catch/1000-F125*dinm*1000,0)</f>
        <v>0</v>
      </c>
      <c r="AA125" s="141">
        <f t="shared" si="38"/>
        <v>0</v>
      </c>
      <c r="AB125" s="141">
        <f t="shared" si="39"/>
        <v>0</v>
      </c>
      <c r="AC125" s="10"/>
    </row>
    <row r="126" spans="1:29" s="7" customFormat="1" ht="11.25">
      <c r="A126" s="124">
        <v>116</v>
      </c>
      <c r="B126" s="141">
        <f>MIN(capacity,B125+pluie!E118*catch/1000-F126*dinm*1000)</f>
        <v>355855.8647894247</v>
      </c>
      <c r="C126" s="145">
        <f t="shared" si="20"/>
        <v>0.3558558647894247</v>
      </c>
      <c r="D126" s="140">
        <v>0.5</v>
      </c>
      <c r="E126" s="122">
        <f t="shared" si="34"/>
        <v>3.75</v>
      </c>
      <c r="F126" s="122">
        <f t="shared" si="35"/>
        <v>3.75</v>
      </c>
      <c r="G126" s="117">
        <f t="shared" si="21"/>
        <v>1</v>
      </c>
      <c r="H126" s="117">
        <f t="shared" si="22"/>
        <v>0</v>
      </c>
      <c r="I126" s="122">
        <f t="shared" si="23"/>
        <v>3.75</v>
      </c>
      <c r="J126" s="138">
        <f t="shared" si="24"/>
        <v>5.625</v>
      </c>
      <c r="K126" s="10"/>
      <c r="L126" s="141">
        <f t="shared" si="25"/>
        <v>59653.65577979481</v>
      </c>
      <c r="M126" s="117">
        <f t="shared" si="26"/>
        <v>1</v>
      </c>
      <c r="N126" s="117">
        <f t="shared" si="27"/>
        <v>0</v>
      </c>
      <c r="O126" s="141">
        <f t="shared" si="28"/>
        <v>15346.344220205188</v>
      </c>
      <c r="P126" s="142">
        <f t="shared" si="29"/>
        <v>75000</v>
      </c>
      <c r="Q126" s="10"/>
      <c r="R126" s="145">
        <f t="shared" si="30"/>
        <v>11.930731155958963</v>
      </c>
      <c r="S126" s="117">
        <f t="shared" si="31"/>
        <v>1</v>
      </c>
      <c r="T126" s="117">
        <f t="shared" si="36"/>
        <v>0</v>
      </c>
      <c r="U126" s="145">
        <f t="shared" si="37"/>
        <v>3.069268844041037</v>
      </c>
      <c r="V126" s="137">
        <f t="shared" si="32"/>
        <v>15</v>
      </c>
      <c r="W126" s="137">
        <f t="shared" si="33"/>
        <v>30</v>
      </c>
      <c r="Z126" s="141">
        <f>IF(capacity&lt;B125+pluie!E118*catch/1000-F126*dinm*1000,-capacity+B125+pluie!E118*catch/1000-F126*dinm*1000,0)</f>
        <v>0</v>
      </c>
      <c r="AA126" s="141">
        <f t="shared" si="38"/>
        <v>0</v>
      </c>
      <c r="AB126" s="141">
        <f t="shared" si="39"/>
        <v>0</v>
      </c>
      <c r="AC126" s="10"/>
    </row>
    <row r="127" spans="1:29" s="7" customFormat="1" ht="11.25">
      <c r="A127" s="124">
        <v>117</v>
      </c>
      <c r="B127" s="141">
        <f>MIN(capacity,B126+pluie!E119*catch/1000-F127*dinm*1000)</f>
        <v>418050.3797084375</v>
      </c>
      <c r="C127" s="145">
        <f t="shared" si="20"/>
        <v>0.4180503797084375</v>
      </c>
      <c r="D127" s="140">
        <v>0.5</v>
      </c>
      <c r="E127" s="122">
        <f t="shared" si="34"/>
        <v>3.75</v>
      </c>
      <c r="F127" s="122">
        <f t="shared" si="35"/>
        <v>3.75</v>
      </c>
      <c r="G127" s="117">
        <f t="shared" si="21"/>
        <v>1</v>
      </c>
      <c r="H127" s="117">
        <f t="shared" si="22"/>
        <v>0</v>
      </c>
      <c r="I127" s="122">
        <f t="shared" si="23"/>
        <v>3.75</v>
      </c>
      <c r="J127" s="138">
        <f t="shared" si="24"/>
        <v>5.625</v>
      </c>
      <c r="K127" s="10"/>
      <c r="L127" s="141">
        <f t="shared" si="25"/>
        <v>64656.81555013651</v>
      </c>
      <c r="M127" s="117">
        <f t="shared" si="26"/>
        <v>1</v>
      </c>
      <c r="N127" s="117">
        <f t="shared" si="27"/>
        <v>0</v>
      </c>
      <c r="O127" s="141">
        <f t="shared" si="28"/>
        <v>10343.18444986349</v>
      </c>
      <c r="P127" s="142">
        <f t="shared" si="29"/>
        <v>75000</v>
      </c>
      <c r="Q127" s="10"/>
      <c r="R127" s="145">
        <f t="shared" si="30"/>
        <v>12.931363110027302</v>
      </c>
      <c r="S127" s="117">
        <f t="shared" si="31"/>
        <v>1</v>
      </c>
      <c r="T127" s="117">
        <f t="shared" si="36"/>
        <v>0</v>
      </c>
      <c r="U127" s="145">
        <f t="shared" si="37"/>
        <v>2.068636889972698</v>
      </c>
      <c r="V127" s="137">
        <f t="shared" si="32"/>
        <v>15</v>
      </c>
      <c r="W127" s="137">
        <f t="shared" si="33"/>
        <v>30</v>
      </c>
      <c r="Z127" s="141">
        <f>IF(capacity&lt;B126+pluie!E119*catch/1000-F127*dinm*1000,-capacity+B126+pluie!E119*catch/1000-F127*dinm*1000,0)</f>
        <v>0</v>
      </c>
      <c r="AA127" s="141">
        <f t="shared" si="38"/>
        <v>0</v>
      </c>
      <c r="AB127" s="141">
        <f t="shared" si="39"/>
        <v>0</v>
      </c>
      <c r="AC127" s="10"/>
    </row>
    <row r="128" spans="1:29" s="7" customFormat="1" ht="11.25">
      <c r="A128" s="124">
        <v>118</v>
      </c>
      <c r="B128" s="141">
        <f>MIN(capacity,B127+pluie!E120*catch/1000-F128*dinm*1000)</f>
        <v>785705.2386030026</v>
      </c>
      <c r="C128" s="145">
        <f t="shared" si="20"/>
        <v>0.7857052386030027</v>
      </c>
      <c r="D128" s="140">
        <v>0.5</v>
      </c>
      <c r="E128" s="122">
        <f t="shared" si="34"/>
        <v>3.75</v>
      </c>
      <c r="F128" s="122">
        <f t="shared" si="35"/>
        <v>3.75</v>
      </c>
      <c r="G128" s="117">
        <f t="shared" si="21"/>
        <v>1</v>
      </c>
      <c r="H128" s="117">
        <f t="shared" si="22"/>
        <v>0</v>
      </c>
      <c r="I128" s="122">
        <f t="shared" si="23"/>
        <v>3.75</v>
      </c>
      <c r="J128" s="138">
        <f t="shared" si="24"/>
        <v>5.625</v>
      </c>
      <c r="K128" s="10"/>
      <c r="L128" s="141">
        <f t="shared" si="25"/>
        <v>88640.0157154207</v>
      </c>
      <c r="M128" s="117">
        <f t="shared" si="26"/>
        <v>0</v>
      </c>
      <c r="N128" s="117">
        <f>IF(AND(M128=0,M127=1),1,0)</f>
        <v>1</v>
      </c>
      <c r="O128" s="141">
        <f t="shared" si="28"/>
        <v>0</v>
      </c>
      <c r="P128" s="142">
        <f t="shared" si="29"/>
        <v>75000</v>
      </c>
      <c r="Q128" s="10"/>
      <c r="R128" s="145">
        <f t="shared" si="30"/>
        <v>17.728003143084138</v>
      </c>
      <c r="S128" s="117">
        <f t="shared" si="31"/>
        <v>0</v>
      </c>
      <c r="T128" s="117">
        <f t="shared" si="36"/>
        <v>1</v>
      </c>
      <c r="U128" s="145">
        <f t="shared" si="37"/>
        <v>0</v>
      </c>
      <c r="V128" s="137">
        <f t="shared" si="32"/>
        <v>15</v>
      </c>
      <c r="W128" s="137">
        <f t="shared" si="33"/>
        <v>30</v>
      </c>
      <c r="Z128" s="141">
        <f>IF(capacity&lt;B127+pluie!E120*catch/1000-F128*dinm*1000,-capacity+B127+pluie!E120*catch/1000-F128*dinm*1000,0)</f>
        <v>0</v>
      </c>
      <c r="AA128" s="141">
        <f t="shared" si="38"/>
        <v>0</v>
      </c>
      <c r="AB128" s="141">
        <f t="shared" si="39"/>
        <v>0</v>
      </c>
      <c r="AC128" s="10"/>
    </row>
    <row r="129" spans="1:29" s="7" customFormat="1" ht="11.25">
      <c r="A129" s="124">
        <v>119</v>
      </c>
      <c r="B129" s="141">
        <f>MIN(capacity,B128+pluie!E121*catch/1000-F129*dinm*1000)</f>
        <v>1000000</v>
      </c>
      <c r="C129" s="145">
        <f t="shared" si="20"/>
        <v>1</v>
      </c>
      <c r="D129" s="140">
        <v>0.5</v>
      </c>
      <c r="E129" s="122">
        <f t="shared" si="34"/>
        <v>7.5</v>
      </c>
      <c r="F129" s="122">
        <f t="shared" si="35"/>
        <v>7.5</v>
      </c>
      <c r="G129" s="117">
        <f t="shared" si="21"/>
        <v>0</v>
      </c>
      <c r="H129" s="117">
        <f t="shared" si="22"/>
        <v>1</v>
      </c>
      <c r="I129" s="122">
        <f t="shared" si="23"/>
        <v>0</v>
      </c>
      <c r="J129" s="138">
        <f t="shared" si="24"/>
        <v>5.625</v>
      </c>
      <c r="K129" s="10"/>
      <c r="L129" s="141">
        <f t="shared" si="25"/>
        <v>100000</v>
      </c>
      <c r="M129" s="117">
        <f t="shared" si="26"/>
        <v>0</v>
      </c>
      <c r="N129" s="117">
        <f t="shared" si="27"/>
        <v>0</v>
      </c>
      <c r="O129" s="141">
        <f t="shared" si="28"/>
        <v>0</v>
      </c>
      <c r="P129" s="142">
        <f t="shared" si="29"/>
        <v>75000</v>
      </c>
      <c r="Q129" s="10"/>
      <c r="R129" s="145">
        <f t="shared" si="30"/>
        <v>20</v>
      </c>
      <c r="S129" s="117">
        <f t="shared" si="31"/>
        <v>0</v>
      </c>
      <c r="T129" s="117">
        <f t="shared" si="36"/>
        <v>0</v>
      </c>
      <c r="U129" s="145">
        <f t="shared" si="37"/>
        <v>0</v>
      </c>
      <c r="V129" s="137">
        <f t="shared" si="32"/>
        <v>15</v>
      </c>
      <c r="W129" s="137">
        <f t="shared" si="33"/>
        <v>30</v>
      </c>
      <c r="Z129" s="141">
        <f>IF(capacity&lt;B128+pluie!E121*catch/1000-F129*dinm*1000,-capacity+B128+pluie!E121*catch/1000-F129*dinm*1000,0)</f>
        <v>259812.79215916153</v>
      </c>
      <c r="AA129" s="141">
        <f t="shared" si="38"/>
        <v>1</v>
      </c>
      <c r="AB129" s="141">
        <f t="shared" si="39"/>
        <v>0</v>
      </c>
      <c r="AC129" s="10"/>
    </row>
    <row r="130" spans="1:29" s="7" customFormat="1" ht="11.25">
      <c r="A130" s="124">
        <v>120</v>
      </c>
      <c r="B130" s="141">
        <f>MIN(capacity,B129+pluie!E122*catch/1000-F130*dinm*1000)</f>
        <v>1000000</v>
      </c>
      <c r="C130" s="145">
        <f t="shared" si="20"/>
        <v>1</v>
      </c>
      <c r="D130" s="140">
        <v>0.5</v>
      </c>
      <c r="E130" s="122">
        <f>IF(C129&gt;warning,target,target/2)</f>
        <v>7.5</v>
      </c>
      <c r="F130" s="122">
        <f>MIN(E130,B129/1000/dinm)</f>
        <v>7.5</v>
      </c>
      <c r="G130" s="117">
        <f>IF(F130&lt;target*fail,1,0)</f>
        <v>0</v>
      </c>
      <c r="H130" s="117">
        <f>IF(AND(G130=0,G129=1),1,0)</f>
        <v>0</v>
      </c>
      <c r="I130" s="122">
        <f>target-F130</f>
        <v>0</v>
      </c>
      <c r="J130" s="138">
        <f t="shared" si="24"/>
        <v>5.625</v>
      </c>
      <c r="K130" s="10"/>
      <c r="L130" s="141">
        <f t="shared" si="25"/>
        <v>100000</v>
      </c>
      <c r="M130" s="117">
        <f t="shared" si="26"/>
        <v>0</v>
      </c>
      <c r="N130" s="117">
        <f t="shared" si="27"/>
        <v>0</v>
      </c>
      <c r="O130" s="141">
        <f t="shared" si="28"/>
        <v>0</v>
      </c>
      <c r="P130" s="142">
        <f t="shared" si="29"/>
        <v>75000</v>
      </c>
      <c r="Q130" s="10"/>
      <c r="R130" s="145">
        <f>(B130/(5*length))^0.5</f>
        <v>20</v>
      </c>
      <c r="S130" s="117">
        <f>IF(OR(R130&lt;depthmin,R130&gt;depthmax),1,0)</f>
        <v>0</v>
      </c>
      <c r="T130" s="117">
        <f>IF(AND(S130=0,S129=1),1,0)</f>
        <v>0</v>
      </c>
      <c r="U130" s="145">
        <f>IF(S130=1,IF(R130&lt;depthmin,ABS(depthmin-R130),ABS(depthmax-R130)),0)</f>
        <v>0</v>
      </c>
      <c r="V130" s="137">
        <f t="shared" si="32"/>
        <v>15</v>
      </c>
      <c r="W130" s="137">
        <f t="shared" si="33"/>
        <v>30</v>
      </c>
      <c r="Z130" s="141">
        <f>IF(capacity&lt;B129+pluie!E122*catch/1000-F130*dinm*1000,-capacity+B129+pluie!E122*catch/1000-F130*dinm*1000,0)</f>
        <v>1100654.8017661017</v>
      </c>
      <c r="AA130" s="141">
        <f t="shared" si="38"/>
        <v>1</v>
      </c>
      <c r="AB130" s="141">
        <f t="shared" si="39"/>
        <v>0</v>
      </c>
      <c r="AC130" s="10"/>
    </row>
  </sheetData>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D2">
      <selection activeCell="G34" sqref="G34"/>
    </sheetView>
  </sheetViews>
  <sheetFormatPr defaultColWidth="9.140625" defaultRowHeight="12.75"/>
  <cols>
    <col min="1" max="1" width="12.57421875" style="0" customWidth="1"/>
    <col min="2" max="2" width="19.8515625" style="0" customWidth="1"/>
    <col min="3" max="3" width="11.140625" style="0" customWidth="1"/>
    <col min="6" max="6" width="10.00390625" style="0" customWidth="1"/>
    <col min="7" max="7" width="12.28125" style="0" customWidth="1"/>
    <col min="9" max="9" width="12.7109375" style="0" customWidth="1"/>
    <col min="10" max="10" width="10.00390625" style="0" customWidth="1"/>
    <col min="11" max="11" width="10.28125" style="0" customWidth="1"/>
    <col min="12" max="12" width="15.421875" style="0" customWidth="1"/>
    <col min="13" max="13" width="12.140625" style="0" customWidth="1"/>
  </cols>
  <sheetData>
    <row r="14" ht="13.5" customHeight="1"/>
  </sheetData>
  <printOptions/>
  <pageMargins left="0.21" right="0.33" top="1" bottom="1" header="0.5" footer="0.5"/>
  <pageSetup horizontalDpi="600" verticalDpi="600" orientation="landscape" paperSize="9" r:id="rId2"/>
  <drawing r:id="rId1"/>
</worksheet>
</file>

<file path=xl/worksheets/sheet6.xml><?xml version="1.0" encoding="utf-8"?>
<worksheet xmlns="http://schemas.openxmlformats.org/spreadsheetml/2006/main" xmlns:r="http://schemas.openxmlformats.org/officeDocument/2006/relationships">
  <sheetPr>
    <outlinePr summaryBelow="0"/>
  </sheetPr>
  <dimension ref="B2:AE31"/>
  <sheetViews>
    <sheetView showGridLines="0" workbookViewId="0" topLeftCell="A1">
      <selection activeCell="F15" sqref="F15"/>
    </sheetView>
  </sheetViews>
  <sheetFormatPr defaultColWidth="9.140625" defaultRowHeight="12.75" outlineLevelRow="1" outlineLevelCol="1"/>
  <cols>
    <col min="3" max="3" width="21.140625" style="0" bestFit="1" customWidth="1"/>
    <col min="4" max="31" width="13.28125" style="0" bestFit="1" customWidth="1" outlineLevel="1"/>
  </cols>
  <sheetData>
    <row r="1" ht="13.5" thickBot="1"/>
    <row r="2" spans="2:31" ht="15">
      <c r="B2" s="148" t="s">
        <v>120</v>
      </c>
      <c r="C2" s="148"/>
      <c r="D2" s="37"/>
      <c r="E2" s="37"/>
      <c r="F2" s="37"/>
      <c r="G2" s="37"/>
      <c r="H2" s="37"/>
      <c r="I2" s="37"/>
      <c r="J2" s="37"/>
      <c r="K2" s="37"/>
      <c r="L2" s="37"/>
      <c r="M2" s="37"/>
      <c r="N2" s="37"/>
      <c r="O2" s="37"/>
      <c r="P2" s="37"/>
      <c r="Q2" s="37"/>
      <c r="R2" s="37"/>
      <c r="S2" s="37"/>
      <c r="T2" s="37"/>
      <c r="U2" s="37"/>
      <c r="V2" s="37"/>
      <c r="W2" s="37"/>
      <c r="X2" s="37"/>
      <c r="Y2" s="37"/>
      <c r="Z2" s="37"/>
      <c r="AA2" s="37"/>
      <c r="AB2" s="37"/>
      <c r="AC2" s="37"/>
      <c r="AD2" s="37"/>
      <c r="AE2" s="37"/>
    </row>
    <row r="3" spans="2:31" ht="15" collapsed="1">
      <c r="B3" s="147"/>
      <c r="C3" s="147"/>
      <c r="D3" s="38" t="s">
        <v>122</v>
      </c>
      <c r="E3" s="38" t="s">
        <v>95</v>
      </c>
      <c r="F3" s="38" t="s">
        <v>97</v>
      </c>
      <c r="G3" s="38" t="s">
        <v>98</v>
      </c>
      <c r="H3" s="38" t="s">
        <v>99</v>
      </c>
      <c r="I3" s="38" t="s">
        <v>100</v>
      </c>
      <c r="J3" s="38" t="s">
        <v>101</v>
      </c>
      <c r="K3" s="38" t="s">
        <v>102</v>
      </c>
      <c r="L3" s="38" t="s">
        <v>103</v>
      </c>
      <c r="M3" s="38" t="s">
        <v>104</v>
      </c>
      <c r="N3" s="38" t="s">
        <v>105</v>
      </c>
      <c r="O3" s="38" t="s">
        <v>106</v>
      </c>
      <c r="P3" s="38" t="s">
        <v>107</v>
      </c>
      <c r="Q3" s="38" t="s">
        <v>108</v>
      </c>
      <c r="R3" s="38" t="s">
        <v>109</v>
      </c>
      <c r="S3" s="38" t="s">
        <v>111</v>
      </c>
      <c r="T3" s="38" t="s">
        <v>112</v>
      </c>
      <c r="U3" s="38" t="s">
        <v>113</v>
      </c>
      <c r="V3" s="38" t="s">
        <v>114</v>
      </c>
      <c r="W3" s="38" t="s">
        <v>115</v>
      </c>
      <c r="X3" s="38" t="s">
        <v>116</v>
      </c>
      <c r="Y3" s="38" t="s">
        <v>117</v>
      </c>
      <c r="Z3" s="38" t="s">
        <v>118</v>
      </c>
      <c r="AA3" s="38" t="s">
        <v>119</v>
      </c>
      <c r="AB3" s="38" t="s">
        <v>136</v>
      </c>
      <c r="AC3" s="38" t="s">
        <v>138</v>
      </c>
      <c r="AD3" s="38" t="s">
        <v>139</v>
      </c>
      <c r="AE3" s="38" t="s">
        <v>142</v>
      </c>
    </row>
    <row r="4" spans="2:31" ht="67.5" hidden="1" outlineLevel="1">
      <c r="B4" s="149"/>
      <c r="C4" s="149"/>
      <c r="D4" s="32"/>
      <c r="E4" s="41" t="s">
        <v>96</v>
      </c>
      <c r="F4" s="41" t="s">
        <v>96</v>
      </c>
      <c r="G4" s="41" t="s">
        <v>96</v>
      </c>
      <c r="H4" s="41" t="s">
        <v>96</v>
      </c>
      <c r="I4" s="41" t="s">
        <v>96</v>
      </c>
      <c r="J4" s="41" t="s">
        <v>96</v>
      </c>
      <c r="K4" s="41" t="s">
        <v>96</v>
      </c>
      <c r="L4" s="41" t="s">
        <v>96</v>
      </c>
      <c r="M4" s="41" t="s">
        <v>96</v>
      </c>
      <c r="N4" s="41" t="s">
        <v>96</v>
      </c>
      <c r="O4" s="41" t="s">
        <v>96</v>
      </c>
      <c r="P4" s="41" t="s">
        <v>96</v>
      </c>
      <c r="Q4" s="41" t="s">
        <v>96</v>
      </c>
      <c r="R4" s="41" t="s">
        <v>110</v>
      </c>
      <c r="S4" s="41" t="s">
        <v>110</v>
      </c>
      <c r="T4" s="41" t="s">
        <v>110</v>
      </c>
      <c r="U4" s="41" t="s">
        <v>110</v>
      </c>
      <c r="V4" s="41" t="s">
        <v>110</v>
      </c>
      <c r="W4" s="41" t="s">
        <v>110</v>
      </c>
      <c r="X4" s="152"/>
      <c r="Y4" s="152"/>
      <c r="Z4" s="152"/>
      <c r="AA4" s="41" t="s">
        <v>140</v>
      </c>
      <c r="AB4" s="152"/>
      <c r="AC4" s="41" t="s">
        <v>137</v>
      </c>
      <c r="AD4" s="41" t="s">
        <v>141</v>
      </c>
      <c r="AE4" s="41" t="s">
        <v>141</v>
      </c>
    </row>
    <row r="5" spans="2:31" ht="12.75">
      <c r="B5" s="150" t="s">
        <v>121</v>
      </c>
      <c r="C5" s="150"/>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row>
    <row r="6" spans="2:31" ht="12.75" outlineLevel="1">
      <c r="B6" s="149"/>
      <c r="C6" s="149" t="s">
        <v>23</v>
      </c>
      <c r="D6" s="33">
        <v>7.5</v>
      </c>
      <c r="E6" s="39">
        <v>2</v>
      </c>
      <c r="F6" s="39">
        <v>5</v>
      </c>
      <c r="G6" s="39">
        <v>7.5</v>
      </c>
      <c r="H6" s="39">
        <v>10</v>
      </c>
      <c r="I6" s="39">
        <v>10</v>
      </c>
      <c r="J6" s="39">
        <v>15</v>
      </c>
      <c r="K6" s="33">
        <v>7.5</v>
      </c>
      <c r="L6" s="33">
        <v>7.5</v>
      </c>
      <c r="M6" s="33">
        <v>7.5</v>
      </c>
      <c r="N6" s="33">
        <v>7.5</v>
      </c>
      <c r="O6" s="33">
        <v>7.5</v>
      </c>
      <c r="P6" s="33">
        <v>7.5</v>
      </c>
      <c r="Q6" s="33">
        <v>7.5</v>
      </c>
      <c r="R6" s="33">
        <v>7.5</v>
      </c>
      <c r="S6" s="33">
        <v>7.5</v>
      </c>
      <c r="T6" s="33">
        <v>7.5</v>
      </c>
      <c r="U6" s="33">
        <v>7.5</v>
      </c>
      <c r="V6" s="33">
        <v>7.5</v>
      </c>
      <c r="W6" s="33">
        <v>7.5</v>
      </c>
      <c r="X6" s="33">
        <v>7.5</v>
      </c>
      <c r="Y6" s="33">
        <v>7.5</v>
      </c>
      <c r="Z6" s="33">
        <v>7.5</v>
      </c>
      <c r="AA6" s="33">
        <v>7.5</v>
      </c>
      <c r="AB6" s="33">
        <v>7.5</v>
      </c>
      <c r="AC6" s="33">
        <v>7.5</v>
      </c>
      <c r="AD6" s="33">
        <v>7.5</v>
      </c>
      <c r="AE6" s="33">
        <v>7.5</v>
      </c>
    </row>
    <row r="7" spans="2:31" ht="12.75" outlineLevel="1">
      <c r="B7" s="149"/>
      <c r="C7" s="149" t="s">
        <v>24</v>
      </c>
      <c r="D7" s="32">
        <v>0.5</v>
      </c>
      <c r="E7" s="32">
        <v>0.5</v>
      </c>
      <c r="F7" s="32">
        <v>0.5</v>
      </c>
      <c r="G7" s="32">
        <v>0.5</v>
      </c>
      <c r="H7" s="32">
        <v>0.5</v>
      </c>
      <c r="I7" s="32">
        <v>0.5</v>
      </c>
      <c r="J7" s="32">
        <v>0.5</v>
      </c>
      <c r="K7" s="40">
        <v>0</v>
      </c>
      <c r="L7" s="40">
        <v>0.2</v>
      </c>
      <c r="M7" s="40">
        <v>0.4</v>
      </c>
      <c r="N7" s="40">
        <v>0.5</v>
      </c>
      <c r="O7" s="40">
        <v>0.6</v>
      </c>
      <c r="P7" s="40">
        <v>0.8</v>
      </c>
      <c r="Q7" s="40">
        <v>0.9</v>
      </c>
      <c r="R7" s="32">
        <v>0.5</v>
      </c>
      <c r="S7" s="32">
        <v>0.5</v>
      </c>
      <c r="T7" s="32">
        <v>0.5</v>
      </c>
      <c r="U7" s="32">
        <v>0.5</v>
      </c>
      <c r="V7" s="32">
        <v>0.5</v>
      </c>
      <c r="W7" s="32">
        <v>0.5</v>
      </c>
      <c r="X7" s="32">
        <v>0.5</v>
      </c>
      <c r="Y7" s="32">
        <v>0.5</v>
      </c>
      <c r="Z7" s="32">
        <v>0.5</v>
      </c>
      <c r="AA7" s="32">
        <v>0.5</v>
      </c>
      <c r="AB7" s="32">
        <v>0.5</v>
      </c>
      <c r="AC7" s="32">
        <v>0.5</v>
      </c>
      <c r="AD7" s="32">
        <v>0.5</v>
      </c>
      <c r="AE7" s="32">
        <v>0.5</v>
      </c>
    </row>
    <row r="8" spans="2:31" ht="12.75" outlineLevel="1">
      <c r="B8" s="149"/>
      <c r="C8" s="149" t="s">
        <v>30</v>
      </c>
      <c r="D8" s="42">
        <v>1000000</v>
      </c>
      <c r="E8" s="42">
        <v>1000000</v>
      </c>
      <c r="F8" s="42">
        <v>1000000</v>
      </c>
      <c r="G8" s="42">
        <v>1000000</v>
      </c>
      <c r="H8" s="42">
        <v>1000000</v>
      </c>
      <c r="I8" s="42">
        <v>1000000</v>
      </c>
      <c r="J8" s="42">
        <v>1000000</v>
      </c>
      <c r="K8" s="42">
        <v>1000000</v>
      </c>
      <c r="L8" s="42">
        <v>1000000</v>
      </c>
      <c r="M8" s="42">
        <v>1000000</v>
      </c>
      <c r="N8" s="42">
        <v>1000000</v>
      </c>
      <c r="O8" s="42">
        <v>1000000</v>
      </c>
      <c r="P8" s="42">
        <v>1000000</v>
      </c>
      <c r="Q8" s="42">
        <v>1000000</v>
      </c>
      <c r="R8" s="43">
        <v>100000</v>
      </c>
      <c r="S8" s="43">
        <v>200000</v>
      </c>
      <c r="T8" s="43">
        <v>300000</v>
      </c>
      <c r="U8" s="43">
        <v>500000</v>
      </c>
      <c r="V8" s="43">
        <v>800000</v>
      </c>
      <c r="W8" s="43">
        <v>1000000</v>
      </c>
      <c r="X8" s="43">
        <v>1100000</v>
      </c>
      <c r="Y8" s="43">
        <v>1500000</v>
      </c>
      <c r="Z8" s="43">
        <v>2000000</v>
      </c>
      <c r="AA8" s="43">
        <v>2500000</v>
      </c>
      <c r="AB8" s="43">
        <v>3000000</v>
      </c>
      <c r="AC8" s="43">
        <v>3500000</v>
      </c>
      <c r="AD8" s="43">
        <v>4500000</v>
      </c>
      <c r="AE8" s="43">
        <v>5000000</v>
      </c>
    </row>
    <row r="9" spans="2:31" ht="12.75">
      <c r="B9" s="150" t="s">
        <v>123</v>
      </c>
      <c r="C9" s="150"/>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row>
    <row r="10" spans="2:31" ht="12.75" outlineLevel="1">
      <c r="B10" s="149"/>
      <c r="C10" s="149" t="s">
        <v>86</v>
      </c>
      <c r="D10" s="34">
        <v>88.236301369863</v>
      </c>
      <c r="E10" s="34">
        <v>99.1666666666667</v>
      </c>
      <c r="F10" s="34">
        <v>96.6666666666667</v>
      </c>
      <c r="G10" s="34">
        <v>88.236301369863</v>
      </c>
      <c r="H10" s="34">
        <v>81.7461021136686</v>
      </c>
      <c r="I10" s="34">
        <v>81.7461021136686</v>
      </c>
      <c r="J10" s="34">
        <v>68.6666053748502</v>
      </c>
      <c r="K10" s="34">
        <v>95.2696181179828</v>
      </c>
      <c r="L10" s="34">
        <v>94.8281361515581</v>
      </c>
      <c r="M10" s="34">
        <v>90.2224721771369</v>
      </c>
      <c r="N10" s="34">
        <v>88.236301369863</v>
      </c>
      <c r="O10" s="34">
        <v>84.5833333333333</v>
      </c>
      <c r="P10" s="34">
        <v>77.9166666666667</v>
      </c>
      <c r="Q10" s="34">
        <v>77.0833333333333</v>
      </c>
      <c r="R10" s="34">
        <v>29.9835740804007</v>
      </c>
      <c r="S10" s="34">
        <v>56.9913676007675</v>
      </c>
      <c r="T10" s="34">
        <v>68.2374635361928</v>
      </c>
      <c r="U10" s="34">
        <v>77.6097031762479</v>
      </c>
      <c r="V10" s="34">
        <v>84.1779516291917</v>
      </c>
      <c r="W10" s="34">
        <v>88.236301369863</v>
      </c>
      <c r="X10" s="34">
        <v>89.5833333333333</v>
      </c>
      <c r="Y10" s="34">
        <v>94.1666666666667</v>
      </c>
      <c r="Z10" s="34">
        <v>97.0833333333333</v>
      </c>
      <c r="AA10" s="34">
        <v>98.3333333333333</v>
      </c>
      <c r="AB10" s="34">
        <v>99.1666666666667</v>
      </c>
      <c r="AC10" s="34">
        <v>99.1666666666667</v>
      </c>
      <c r="AD10" s="34">
        <v>99.1666666666667</v>
      </c>
      <c r="AE10" s="34">
        <v>99.1666666666667</v>
      </c>
    </row>
    <row r="11" spans="2:31" ht="12.75" outlineLevel="1">
      <c r="B11" s="149"/>
      <c r="C11" s="149" t="s">
        <v>87</v>
      </c>
      <c r="D11" s="34">
        <v>78.3333333333333</v>
      </c>
      <c r="E11" s="34">
        <v>100</v>
      </c>
      <c r="F11" s="34">
        <v>95</v>
      </c>
      <c r="G11" s="34">
        <v>78.3333333333333</v>
      </c>
      <c r="H11" s="34">
        <v>67.5</v>
      </c>
      <c r="I11" s="34">
        <v>67.5</v>
      </c>
      <c r="J11" s="34">
        <v>57.5</v>
      </c>
      <c r="K11" s="34">
        <v>95</v>
      </c>
      <c r="L11" s="34">
        <v>94.1666666666667</v>
      </c>
      <c r="M11" s="34">
        <v>82.5</v>
      </c>
      <c r="N11" s="34">
        <v>78.3333333333333</v>
      </c>
      <c r="O11" s="34">
        <v>70.8333333333333</v>
      </c>
      <c r="P11" s="34">
        <v>56.6666666666667</v>
      </c>
      <c r="Q11" s="34">
        <v>55</v>
      </c>
      <c r="R11" s="34">
        <v>0</v>
      </c>
      <c r="S11" s="34">
        <v>60.8333333333333</v>
      </c>
      <c r="T11" s="34">
        <v>63.3333333333333</v>
      </c>
      <c r="U11" s="34">
        <v>71.6666666666667</v>
      </c>
      <c r="V11" s="34">
        <v>71.6666666666667</v>
      </c>
      <c r="W11" s="34">
        <v>78.3333333333333</v>
      </c>
      <c r="X11" s="34">
        <v>80.8333333333333</v>
      </c>
      <c r="Y11" s="34">
        <v>90</v>
      </c>
      <c r="Z11" s="34">
        <v>95.8333333333333</v>
      </c>
      <c r="AA11" s="34">
        <v>98.3333333333333</v>
      </c>
      <c r="AB11" s="34">
        <v>100</v>
      </c>
      <c r="AC11" s="34">
        <v>100</v>
      </c>
      <c r="AD11" s="34">
        <v>100</v>
      </c>
      <c r="AE11" s="34">
        <v>100</v>
      </c>
    </row>
    <row r="12" spans="2:31" ht="12.75" outlineLevel="1">
      <c r="B12" s="149"/>
      <c r="C12" s="149" t="s">
        <v>127</v>
      </c>
      <c r="D12" s="34">
        <v>34.6153846153846</v>
      </c>
      <c r="E12" s="34">
        <v>100</v>
      </c>
      <c r="F12" s="34">
        <v>50</v>
      </c>
      <c r="G12" s="34">
        <v>34.6153846153846</v>
      </c>
      <c r="H12" s="34">
        <v>33.3333333333333</v>
      </c>
      <c r="I12" s="34">
        <v>33.3333333333333</v>
      </c>
      <c r="J12" s="34">
        <v>29.4117647058824</v>
      </c>
      <c r="K12" s="34">
        <v>83.3333333333333</v>
      </c>
      <c r="L12" s="34">
        <v>85.7142857142857</v>
      </c>
      <c r="M12" s="34">
        <v>47.6190476190476</v>
      </c>
      <c r="N12" s="34">
        <v>34.6153846153846</v>
      </c>
      <c r="O12" s="34">
        <v>28.5714285714286</v>
      </c>
      <c r="P12" s="34">
        <v>32.6923076923077</v>
      </c>
      <c r="Q12" s="34">
        <v>29.6296296296296</v>
      </c>
      <c r="R12" s="34">
        <v>0</v>
      </c>
      <c r="S12" s="34">
        <v>40.4255319148936</v>
      </c>
      <c r="T12" s="34">
        <v>38.6363636363636</v>
      </c>
      <c r="U12" s="34">
        <v>32.3529411764706</v>
      </c>
      <c r="V12" s="34">
        <v>29.4117647058824</v>
      </c>
      <c r="W12" s="34">
        <v>34.6153846153846</v>
      </c>
      <c r="X12" s="34">
        <v>43.4782608695652</v>
      </c>
      <c r="Y12" s="34">
        <v>58.3333333333333</v>
      </c>
      <c r="Z12" s="34">
        <v>60</v>
      </c>
      <c r="AA12" s="34">
        <v>100</v>
      </c>
      <c r="AB12" s="34">
        <v>100</v>
      </c>
      <c r="AC12" s="34">
        <v>100</v>
      </c>
      <c r="AD12" s="34">
        <v>100</v>
      </c>
      <c r="AE12" s="34">
        <v>100</v>
      </c>
    </row>
    <row r="13" spans="2:31" ht="12.75" outlineLevel="1">
      <c r="B13" s="149"/>
      <c r="C13" s="149" t="s">
        <v>128</v>
      </c>
      <c r="D13" s="35">
        <v>0.616438356164384</v>
      </c>
      <c r="E13" s="35">
        <v>0</v>
      </c>
      <c r="F13" s="35">
        <v>0.5</v>
      </c>
      <c r="G13" s="35">
        <v>0.616438356164384</v>
      </c>
      <c r="H13" s="35">
        <v>1</v>
      </c>
      <c r="I13" s="35">
        <v>1</v>
      </c>
      <c r="J13" s="35">
        <v>1</v>
      </c>
      <c r="K13" s="35">
        <v>1</v>
      </c>
      <c r="L13" s="35">
        <v>1</v>
      </c>
      <c r="M13" s="35">
        <v>0.616595031271394</v>
      </c>
      <c r="N13" s="35">
        <v>0.616438356164384</v>
      </c>
      <c r="O13" s="35">
        <v>0.5</v>
      </c>
      <c r="P13" s="35">
        <v>0.5</v>
      </c>
      <c r="Q13" s="35">
        <v>0.5</v>
      </c>
      <c r="R13" s="35">
        <v>1</v>
      </c>
      <c r="S13" s="35">
        <v>1</v>
      </c>
      <c r="T13" s="35">
        <v>1</v>
      </c>
      <c r="U13" s="35">
        <v>1</v>
      </c>
      <c r="V13" s="35">
        <v>0.993307360038517</v>
      </c>
      <c r="W13" s="35">
        <v>0.616438356164384</v>
      </c>
      <c r="X13" s="35">
        <v>0.5</v>
      </c>
      <c r="Y13" s="35">
        <v>0.5</v>
      </c>
      <c r="Z13" s="35">
        <v>0.5</v>
      </c>
      <c r="AA13" s="35">
        <v>0.5</v>
      </c>
      <c r="AB13" s="35">
        <v>0</v>
      </c>
      <c r="AC13" s="35">
        <v>0</v>
      </c>
      <c r="AD13" s="35">
        <v>0</v>
      </c>
      <c r="AE13" s="35">
        <v>0</v>
      </c>
    </row>
    <row r="14" spans="2:31" ht="12.75" outlineLevel="1">
      <c r="B14" s="149"/>
      <c r="C14" s="149" t="s">
        <v>88</v>
      </c>
      <c r="D14" s="34">
        <v>71.6666666666667</v>
      </c>
      <c r="E14" s="34">
        <v>100</v>
      </c>
      <c r="F14" s="34">
        <v>87.5</v>
      </c>
      <c r="G14" s="34">
        <v>71.6666666666667</v>
      </c>
      <c r="H14" s="34">
        <v>65.8333333333333</v>
      </c>
      <c r="I14" s="34">
        <v>65.8333333333333</v>
      </c>
      <c r="J14" s="34">
        <v>50.8333333333333</v>
      </c>
      <c r="K14" s="34">
        <v>69.1666666666667</v>
      </c>
      <c r="L14" s="34">
        <v>69.1666666666667</v>
      </c>
      <c r="M14" s="34">
        <v>71.6666666666667</v>
      </c>
      <c r="N14" s="34">
        <v>71.6666666666667</v>
      </c>
      <c r="O14" s="34">
        <v>75</v>
      </c>
      <c r="P14" s="34">
        <v>87.5</v>
      </c>
      <c r="Q14" s="34">
        <v>87.5</v>
      </c>
      <c r="R14" s="34">
        <v>0</v>
      </c>
      <c r="S14" s="34">
        <v>0</v>
      </c>
      <c r="T14" s="34">
        <v>0</v>
      </c>
      <c r="U14" s="34">
        <v>0</v>
      </c>
      <c r="V14" s="34">
        <v>67.5</v>
      </c>
      <c r="W14" s="34">
        <v>71.6666666666667</v>
      </c>
      <c r="X14" s="34">
        <v>80.8333333333333</v>
      </c>
      <c r="Y14" s="34">
        <v>98.3333333333333</v>
      </c>
      <c r="Z14" s="34">
        <v>100</v>
      </c>
      <c r="AA14" s="34">
        <v>100</v>
      </c>
      <c r="AB14" s="34">
        <v>100</v>
      </c>
      <c r="AC14" s="34">
        <v>100</v>
      </c>
      <c r="AD14" s="34">
        <v>100</v>
      </c>
      <c r="AE14" s="34">
        <v>100</v>
      </c>
    </row>
    <row r="15" spans="2:31" ht="12.75" outlineLevel="1">
      <c r="B15" s="149"/>
      <c r="C15" s="149" t="s">
        <v>89</v>
      </c>
      <c r="D15" s="34">
        <v>29.4117647058824</v>
      </c>
      <c r="E15" s="34">
        <v>100</v>
      </c>
      <c r="F15" s="34">
        <v>53.3333333333333</v>
      </c>
      <c r="G15" s="34">
        <v>29.4117647058824</v>
      </c>
      <c r="H15" s="34">
        <v>34.1463414634146</v>
      </c>
      <c r="I15" s="34">
        <v>34.1463414634146</v>
      </c>
      <c r="J15" s="34">
        <v>27.1186440677966</v>
      </c>
      <c r="K15" s="34">
        <v>29.7297297297297</v>
      </c>
      <c r="L15" s="34">
        <v>29.7297297297297</v>
      </c>
      <c r="M15" s="34">
        <v>29.4117647058824</v>
      </c>
      <c r="N15" s="34">
        <v>29.4117647058824</v>
      </c>
      <c r="O15" s="34">
        <v>33.3333333333333</v>
      </c>
      <c r="P15" s="34">
        <v>53.3333333333333</v>
      </c>
      <c r="Q15" s="34">
        <v>53.3333333333333</v>
      </c>
      <c r="R15" s="34">
        <v>0</v>
      </c>
      <c r="S15" s="34">
        <v>0</v>
      </c>
      <c r="T15" s="34">
        <v>0</v>
      </c>
      <c r="U15" s="34">
        <v>0</v>
      </c>
      <c r="V15" s="34">
        <v>28.2051282051282</v>
      </c>
      <c r="W15" s="34">
        <v>29.4117647058824</v>
      </c>
      <c r="X15" s="34">
        <v>43.4782608695652</v>
      </c>
      <c r="Y15" s="34">
        <v>100</v>
      </c>
      <c r="Z15" s="34">
        <v>100</v>
      </c>
      <c r="AA15" s="34">
        <v>100</v>
      </c>
      <c r="AB15" s="34">
        <v>100</v>
      </c>
      <c r="AC15" s="34">
        <v>100</v>
      </c>
      <c r="AD15" s="34">
        <v>100</v>
      </c>
      <c r="AE15" s="34">
        <v>100</v>
      </c>
    </row>
    <row r="16" spans="2:31" ht="12.75" outlineLevel="1">
      <c r="B16" s="149"/>
      <c r="C16" s="149" t="s">
        <v>90</v>
      </c>
      <c r="D16" s="35">
        <v>0.605594681126692</v>
      </c>
      <c r="E16" s="35">
        <v>0</v>
      </c>
      <c r="F16" s="35">
        <v>0.250926498191859</v>
      </c>
      <c r="G16" s="35">
        <v>0.605594681126692</v>
      </c>
      <c r="H16" s="35">
        <v>0.999986666666667</v>
      </c>
      <c r="I16" s="35">
        <v>0.999986666666667</v>
      </c>
      <c r="J16" s="35">
        <v>0.999999998728434</v>
      </c>
      <c r="K16" s="35">
        <v>0.999986666666667</v>
      </c>
      <c r="L16" s="35">
        <v>0.999986666666667</v>
      </c>
      <c r="M16" s="35">
        <v>0.605675241589511</v>
      </c>
      <c r="N16" s="35">
        <v>0.605594681126692</v>
      </c>
      <c r="O16" s="35">
        <v>0.401443575865008</v>
      </c>
      <c r="P16" s="35">
        <v>0.250926498191859</v>
      </c>
      <c r="Q16" s="35">
        <v>0.250926498191859</v>
      </c>
      <c r="R16" s="35">
        <v>0.999999998728434</v>
      </c>
      <c r="S16" s="35">
        <v>0.999999998728434</v>
      </c>
      <c r="T16" s="35">
        <v>0.999999998728434</v>
      </c>
      <c r="U16" s="35">
        <v>0.999986666666667</v>
      </c>
      <c r="V16" s="35">
        <v>0.947901657246009</v>
      </c>
      <c r="W16" s="35">
        <v>0.605594681126692</v>
      </c>
      <c r="X16" s="35">
        <v>0.422649730810374</v>
      </c>
      <c r="Y16" s="35">
        <v>0.0825760703651409</v>
      </c>
      <c r="Z16" s="35">
        <v>0</v>
      </c>
      <c r="AA16" s="35">
        <v>0</v>
      </c>
      <c r="AB16" s="35">
        <v>0</v>
      </c>
      <c r="AC16" s="35">
        <v>0</v>
      </c>
      <c r="AD16" s="35">
        <v>0</v>
      </c>
      <c r="AE16" s="35">
        <v>0</v>
      </c>
    </row>
    <row r="17" spans="2:31" ht="12.75" outlineLevel="1">
      <c r="B17" s="149"/>
      <c r="C17" s="149" t="s">
        <v>91</v>
      </c>
      <c r="D17" s="34">
        <v>71.6666666666667</v>
      </c>
      <c r="E17" s="34">
        <v>100</v>
      </c>
      <c r="F17" s="34">
        <v>87.5</v>
      </c>
      <c r="G17" s="34">
        <v>71.6666666666667</v>
      </c>
      <c r="H17" s="34">
        <v>65.8333333333333</v>
      </c>
      <c r="I17" s="34">
        <v>65.8333333333333</v>
      </c>
      <c r="J17" s="34">
        <v>50.8333333333333</v>
      </c>
      <c r="K17" s="34">
        <v>69.1666666666667</v>
      </c>
      <c r="L17" s="34">
        <v>69.1666666666667</v>
      </c>
      <c r="M17" s="34">
        <v>71.6666666666667</v>
      </c>
      <c r="N17" s="34">
        <v>71.6666666666667</v>
      </c>
      <c r="O17" s="34">
        <v>75</v>
      </c>
      <c r="P17" s="34">
        <v>87.5</v>
      </c>
      <c r="Q17" s="34">
        <v>87.5</v>
      </c>
      <c r="R17" s="34">
        <v>0</v>
      </c>
      <c r="S17" s="34">
        <v>0</v>
      </c>
      <c r="T17" s="34">
        <v>0</v>
      </c>
      <c r="U17" s="34">
        <v>0</v>
      </c>
      <c r="V17" s="34">
        <v>67.5</v>
      </c>
      <c r="W17" s="34">
        <v>71.6666666666667</v>
      </c>
      <c r="X17" s="34">
        <v>80.8333333333333</v>
      </c>
      <c r="Y17" s="34">
        <v>98.3333333333333</v>
      </c>
      <c r="Z17" s="34">
        <v>100</v>
      </c>
      <c r="AA17" s="34">
        <v>41.6666666666667</v>
      </c>
      <c r="AB17" s="34">
        <v>19.1666666666667</v>
      </c>
      <c r="AC17" s="34">
        <v>3.33333333333333</v>
      </c>
      <c r="AD17" s="34">
        <v>0</v>
      </c>
      <c r="AE17" s="34">
        <v>0</v>
      </c>
    </row>
    <row r="18" spans="2:31" ht="12.75" outlineLevel="1">
      <c r="B18" s="149"/>
      <c r="C18" s="149" t="s">
        <v>92</v>
      </c>
      <c r="D18" s="34">
        <v>29.4117647058824</v>
      </c>
      <c r="E18" s="34">
        <v>100</v>
      </c>
      <c r="F18" s="34">
        <v>53.3333333333333</v>
      </c>
      <c r="G18" s="34">
        <v>29.4117647058824</v>
      </c>
      <c r="H18" s="34">
        <v>34.1463414634146</v>
      </c>
      <c r="I18" s="34">
        <v>34.1463414634146</v>
      </c>
      <c r="J18" s="34">
        <v>27.1186440677966</v>
      </c>
      <c r="K18" s="34">
        <v>29.7297297297297</v>
      </c>
      <c r="L18" s="34">
        <v>29.7297297297297</v>
      </c>
      <c r="M18" s="34">
        <v>29.4117647058824</v>
      </c>
      <c r="N18" s="34">
        <v>29.4117647058824</v>
      </c>
      <c r="O18" s="34">
        <v>33.3333333333333</v>
      </c>
      <c r="P18" s="34">
        <v>53.3333333333333</v>
      </c>
      <c r="Q18" s="34">
        <v>53.3333333333333</v>
      </c>
      <c r="R18" s="34">
        <v>0</v>
      </c>
      <c r="S18" s="34">
        <v>0</v>
      </c>
      <c r="T18" s="34">
        <v>0</v>
      </c>
      <c r="U18" s="34">
        <v>0</v>
      </c>
      <c r="V18" s="34">
        <v>28.2051282051282</v>
      </c>
      <c r="W18" s="34">
        <v>29.4117647058824</v>
      </c>
      <c r="X18" s="34">
        <v>43.4782608695652</v>
      </c>
      <c r="Y18" s="34">
        <v>100</v>
      </c>
      <c r="Z18" s="34">
        <v>100</v>
      </c>
      <c r="AA18" s="34">
        <v>15.7142857142857</v>
      </c>
      <c r="AB18" s="34">
        <v>6.18556701030928</v>
      </c>
      <c r="AC18" s="34">
        <v>1.72413793103448</v>
      </c>
      <c r="AD18" s="34">
        <v>0</v>
      </c>
      <c r="AE18" s="34">
        <v>0</v>
      </c>
    </row>
    <row r="19" spans="2:31" ht="12.75" outlineLevel="1">
      <c r="B19" s="149"/>
      <c r="C19" s="149" t="s">
        <v>93</v>
      </c>
      <c r="D19" s="35">
        <v>0.605594681126692</v>
      </c>
      <c r="E19" s="35">
        <v>0</v>
      </c>
      <c r="F19" s="35">
        <v>0.250926498191859</v>
      </c>
      <c r="G19" s="35">
        <v>0.605594681126692</v>
      </c>
      <c r="H19" s="35">
        <v>1</v>
      </c>
      <c r="I19" s="35">
        <v>1</v>
      </c>
      <c r="J19" s="35">
        <v>1</v>
      </c>
      <c r="K19" s="35">
        <v>1</v>
      </c>
      <c r="L19" s="35">
        <v>1</v>
      </c>
      <c r="M19" s="35">
        <v>0.605675241589511</v>
      </c>
      <c r="N19" s="35">
        <v>0.605594681126692</v>
      </c>
      <c r="O19" s="35">
        <v>0.401443575865009</v>
      </c>
      <c r="P19" s="35">
        <v>0.250926498191859</v>
      </c>
      <c r="Q19" s="35">
        <v>0.250926498191859</v>
      </c>
      <c r="R19" s="35">
        <v>1</v>
      </c>
      <c r="S19" s="35">
        <v>1</v>
      </c>
      <c r="T19" s="35">
        <v>1</v>
      </c>
      <c r="U19" s="35">
        <v>1</v>
      </c>
      <c r="V19" s="35">
        <v>0.947901657246009</v>
      </c>
      <c r="W19" s="35">
        <v>0.605594681126692</v>
      </c>
      <c r="X19" s="35">
        <v>0.422649730810374</v>
      </c>
      <c r="Y19" s="35">
        <v>0.082576070365141</v>
      </c>
      <c r="Z19" s="35">
        <v>0</v>
      </c>
      <c r="AA19" s="35">
        <v>0.10818510677892</v>
      </c>
      <c r="AB19" s="35">
        <v>0.309401076758503</v>
      </c>
      <c r="AC19" s="35">
        <v>0.494438257849294</v>
      </c>
      <c r="AD19" s="35">
        <v>0.82842712474619</v>
      </c>
      <c r="AE19" s="35">
        <v>0.98142396999972</v>
      </c>
    </row>
    <row r="20" spans="2:31" ht="12.75" outlineLevel="1">
      <c r="B20" s="149"/>
      <c r="C20" s="149" t="s">
        <v>129</v>
      </c>
      <c r="D20" s="34">
        <v>790.833333333333</v>
      </c>
      <c r="E20" s="34">
        <v>0</v>
      </c>
      <c r="F20" s="34">
        <v>182.5</v>
      </c>
      <c r="G20" s="34">
        <v>790.833333333333</v>
      </c>
      <c r="H20" s="34">
        <v>1186.25</v>
      </c>
      <c r="I20" s="34">
        <v>1186.25</v>
      </c>
      <c r="J20" s="34">
        <v>1551.25</v>
      </c>
      <c r="K20" s="34">
        <v>182.5</v>
      </c>
      <c r="L20" s="34">
        <v>212.916666666667</v>
      </c>
      <c r="M20" s="34">
        <v>638.75</v>
      </c>
      <c r="N20" s="34">
        <v>790.833333333333</v>
      </c>
      <c r="O20" s="34">
        <v>1064.58333333333</v>
      </c>
      <c r="P20" s="34">
        <v>1581.66666666667</v>
      </c>
      <c r="Q20" s="34">
        <v>1642.5</v>
      </c>
      <c r="R20" s="34">
        <v>3650</v>
      </c>
      <c r="S20" s="34">
        <v>1429.58333333333</v>
      </c>
      <c r="T20" s="34">
        <v>1338.33333333333</v>
      </c>
      <c r="U20" s="34">
        <v>1034.16666666667</v>
      </c>
      <c r="V20" s="34">
        <v>1034.16666666667</v>
      </c>
      <c r="W20" s="34">
        <v>790.833333333333</v>
      </c>
      <c r="X20" s="34">
        <v>699.583333333333</v>
      </c>
      <c r="Y20" s="34">
        <v>365</v>
      </c>
      <c r="Z20" s="34">
        <v>152.083333333333</v>
      </c>
      <c r="AA20" s="34">
        <v>60.8333333333333</v>
      </c>
      <c r="AB20" s="34">
        <v>0</v>
      </c>
      <c r="AC20" s="34">
        <v>0</v>
      </c>
      <c r="AD20" s="34">
        <v>0</v>
      </c>
      <c r="AE20" s="34">
        <v>0</v>
      </c>
    </row>
    <row r="21" spans="2:31" ht="12.75" outlineLevel="1">
      <c r="B21" s="149"/>
      <c r="C21" s="149" t="s">
        <v>94</v>
      </c>
      <c r="D21" s="34">
        <v>1034.16666666667</v>
      </c>
      <c r="E21" s="34">
        <v>0</v>
      </c>
      <c r="F21" s="34">
        <v>456.25</v>
      </c>
      <c r="G21" s="34">
        <v>1034.16666666667</v>
      </c>
      <c r="H21" s="34">
        <v>1247.08333333333</v>
      </c>
      <c r="I21" s="34">
        <v>1247.08333333333</v>
      </c>
      <c r="J21" s="34">
        <v>1794.58333333333</v>
      </c>
      <c r="K21" s="34">
        <v>1125.41666666667</v>
      </c>
      <c r="L21" s="34">
        <v>1125.41666666667</v>
      </c>
      <c r="M21" s="34">
        <v>1034.16666666667</v>
      </c>
      <c r="N21" s="34">
        <v>1034.16666666667</v>
      </c>
      <c r="O21" s="34">
        <v>912.5</v>
      </c>
      <c r="P21" s="34">
        <v>456.25</v>
      </c>
      <c r="Q21" s="34">
        <v>456.25</v>
      </c>
      <c r="R21" s="34">
        <v>3650</v>
      </c>
      <c r="S21" s="34">
        <v>3650</v>
      </c>
      <c r="T21" s="34">
        <v>3650</v>
      </c>
      <c r="U21" s="34">
        <v>3650</v>
      </c>
      <c r="V21" s="34">
        <v>1186.25</v>
      </c>
      <c r="W21" s="34">
        <v>1034.16666666667</v>
      </c>
      <c r="X21" s="34">
        <v>699.583333333333</v>
      </c>
      <c r="Y21" s="34">
        <v>60.8333333333333</v>
      </c>
      <c r="Z21" s="34">
        <v>0</v>
      </c>
      <c r="AA21" s="34">
        <v>0</v>
      </c>
      <c r="AB21" s="34">
        <v>0</v>
      </c>
      <c r="AC21" s="34">
        <v>0</v>
      </c>
      <c r="AD21" s="34">
        <v>0</v>
      </c>
      <c r="AE21" s="34">
        <v>0</v>
      </c>
    </row>
    <row r="22" spans="2:31" ht="12.75" outlineLevel="1">
      <c r="B22" s="149"/>
      <c r="C22" s="149" t="s">
        <v>130</v>
      </c>
      <c r="D22" s="34">
        <v>1034.16666666667</v>
      </c>
      <c r="E22" s="34">
        <v>0</v>
      </c>
      <c r="F22" s="34">
        <v>456.25</v>
      </c>
      <c r="G22" s="34">
        <v>1034.16666666667</v>
      </c>
      <c r="H22" s="34">
        <v>1247.08333333333</v>
      </c>
      <c r="I22" s="34">
        <v>1247.08333333333</v>
      </c>
      <c r="J22" s="34">
        <v>1794.58333333333</v>
      </c>
      <c r="K22" s="34">
        <v>1125.41666666667</v>
      </c>
      <c r="L22" s="34">
        <v>1125.41666666667</v>
      </c>
      <c r="M22" s="34">
        <v>1034.16666666667</v>
      </c>
      <c r="N22" s="34">
        <v>1034.16666666667</v>
      </c>
      <c r="O22" s="34">
        <v>912.5</v>
      </c>
      <c r="P22" s="34">
        <v>456.25</v>
      </c>
      <c r="Q22" s="34">
        <v>456.25</v>
      </c>
      <c r="R22" s="34">
        <v>3650</v>
      </c>
      <c r="S22" s="34">
        <v>3650</v>
      </c>
      <c r="T22" s="34">
        <v>3650</v>
      </c>
      <c r="U22" s="34">
        <v>3650</v>
      </c>
      <c r="V22" s="34">
        <v>1186.25</v>
      </c>
      <c r="W22" s="34">
        <v>1034.16666666667</v>
      </c>
      <c r="X22" s="34">
        <v>699.583333333333</v>
      </c>
      <c r="Y22" s="34">
        <v>60.8333333333333</v>
      </c>
      <c r="Z22" s="34">
        <v>0</v>
      </c>
      <c r="AA22" s="34">
        <v>2129.16666666667</v>
      </c>
      <c r="AB22" s="34">
        <v>2950.41666666667</v>
      </c>
      <c r="AC22" s="34">
        <v>3528.33333333333</v>
      </c>
      <c r="AD22" s="34">
        <v>3650</v>
      </c>
      <c r="AE22" s="34">
        <v>3650</v>
      </c>
    </row>
    <row r="23" spans="2:31" ht="12.75" outlineLevel="1">
      <c r="B23" s="149"/>
      <c r="C23" s="149" t="s">
        <v>226</v>
      </c>
      <c r="D23" s="34">
        <v>54.1666666666667</v>
      </c>
      <c r="E23" s="34">
        <v>35.8333333333333</v>
      </c>
      <c r="F23" s="34">
        <v>48.3333333333333</v>
      </c>
      <c r="G23" s="34">
        <v>54.1666666666667</v>
      </c>
      <c r="H23" s="34">
        <v>56.6666666666667</v>
      </c>
      <c r="I23" s="34">
        <v>56.6666666666667</v>
      </c>
      <c r="J23" s="34">
        <v>66.6666666666667</v>
      </c>
      <c r="K23" s="34">
        <v>57.5</v>
      </c>
      <c r="L23" s="34">
        <v>56.6666666666667</v>
      </c>
      <c r="M23" s="34">
        <v>55.8333333333333</v>
      </c>
      <c r="N23" s="34">
        <v>54.1666666666667</v>
      </c>
      <c r="O23" s="34">
        <v>50.8333333333333</v>
      </c>
      <c r="P23" s="34">
        <v>47.5</v>
      </c>
      <c r="Q23" s="34">
        <v>47.5</v>
      </c>
      <c r="R23" s="34">
        <v>33.3333333333333</v>
      </c>
      <c r="S23" s="34">
        <v>40</v>
      </c>
      <c r="T23" s="34">
        <v>44.1666666666667</v>
      </c>
      <c r="U23" s="34">
        <v>47.5</v>
      </c>
      <c r="V23" s="34">
        <v>50.8333333333333</v>
      </c>
      <c r="W23" s="34">
        <v>54.1666666666667</v>
      </c>
      <c r="X23" s="34">
        <v>54.1666666666667</v>
      </c>
      <c r="Y23" s="34">
        <v>56.6666666666667</v>
      </c>
      <c r="Z23" s="34">
        <v>59.1666666666667</v>
      </c>
      <c r="AA23" s="34">
        <v>59.1666666666667</v>
      </c>
      <c r="AB23" s="34">
        <v>59.1666666666667</v>
      </c>
      <c r="AC23" s="34">
        <v>59.1666666666667</v>
      </c>
      <c r="AD23" s="34">
        <v>59.1666666666667</v>
      </c>
      <c r="AE23" s="34">
        <v>59.1666666666667</v>
      </c>
    </row>
    <row r="24" spans="2:31" ht="12.75" outlineLevel="1">
      <c r="B24" s="149"/>
      <c r="C24" s="149" t="s">
        <v>227</v>
      </c>
      <c r="D24" s="34">
        <v>21.8181818181818</v>
      </c>
      <c r="E24" s="34">
        <v>20.7792207792208</v>
      </c>
      <c r="F24" s="34">
        <v>24.1935483870968</v>
      </c>
      <c r="G24" s="34">
        <v>21.8181818181818</v>
      </c>
      <c r="H24" s="34">
        <v>23.0769230769231</v>
      </c>
      <c r="I24" s="34">
        <v>23.0769230769231</v>
      </c>
      <c r="J24" s="34">
        <v>35</v>
      </c>
      <c r="K24" s="34">
        <v>21.5686274509804</v>
      </c>
      <c r="L24" s="34">
        <v>21.1538461538462</v>
      </c>
      <c r="M24" s="34">
        <v>22.6415094339623</v>
      </c>
      <c r="N24" s="34">
        <v>21.8181818181818</v>
      </c>
      <c r="O24" s="34">
        <v>23.728813559322</v>
      </c>
      <c r="P24" s="34">
        <v>23.8095238095238</v>
      </c>
      <c r="Q24" s="34">
        <v>23.8095238095238</v>
      </c>
      <c r="R24" s="34">
        <v>25</v>
      </c>
      <c r="S24" s="34">
        <v>25</v>
      </c>
      <c r="T24" s="34">
        <v>23.8805970149254</v>
      </c>
      <c r="U24" s="34">
        <v>23.8095238095238</v>
      </c>
      <c r="V24" s="34">
        <v>23.728813559322</v>
      </c>
      <c r="W24" s="34">
        <v>21.8181818181818</v>
      </c>
      <c r="X24" s="34">
        <v>21.8181818181818</v>
      </c>
      <c r="Y24" s="34">
        <v>21.1538461538462</v>
      </c>
      <c r="Z24" s="34">
        <v>22.4489795918367</v>
      </c>
      <c r="AA24" s="34">
        <v>22.4489795918367</v>
      </c>
      <c r="AB24" s="34">
        <v>22.4489795918367</v>
      </c>
      <c r="AC24" s="34">
        <v>22.4489795918367</v>
      </c>
      <c r="AD24" s="34">
        <v>22.4489795918367</v>
      </c>
      <c r="AE24" s="34">
        <v>22.4489795918367</v>
      </c>
    </row>
    <row r="25" spans="2:31" ht="13.5" outlineLevel="1" thickBot="1">
      <c r="B25" s="151"/>
      <c r="C25" s="151" t="s">
        <v>228</v>
      </c>
      <c r="D25" s="153">
        <v>0.830563326946756</v>
      </c>
      <c r="E25" s="153">
        <v>0.977417109856771</v>
      </c>
      <c r="F25" s="153">
        <v>0.915249164983865</v>
      </c>
      <c r="G25" s="153">
        <v>0.830563326946756</v>
      </c>
      <c r="H25" s="153">
        <v>0.769035811220071</v>
      </c>
      <c r="I25" s="153">
        <v>0.769035811220071</v>
      </c>
      <c r="J25" s="153">
        <v>0.712578585861998</v>
      </c>
      <c r="K25" s="153">
        <v>0.830563326946756</v>
      </c>
      <c r="L25" s="153">
        <v>0.830563326946756</v>
      </c>
      <c r="M25" s="153">
        <v>0.830563326946756</v>
      </c>
      <c r="N25" s="153">
        <v>0.830563326946756</v>
      </c>
      <c r="O25" s="153">
        <v>0.830563326946756</v>
      </c>
      <c r="P25" s="153">
        <v>0.87290624596531</v>
      </c>
      <c r="Q25" s="153">
        <v>0.87290624596531</v>
      </c>
      <c r="R25" s="153">
        <v>0.962877440860445</v>
      </c>
      <c r="S25" s="153">
        <v>0.925754881720891</v>
      </c>
      <c r="T25" s="153">
        <v>0.888632322581336</v>
      </c>
      <c r="U25" s="153">
        <v>0.830563326946756</v>
      </c>
      <c r="V25" s="153">
        <v>0.830563326946756</v>
      </c>
      <c r="W25" s="153">
        <v>0.830563326946756</v>
      </c>
      <c r="X25" s="153">
        <v>0.830563326946756</v>
      </c>
      <c r="Y25" s="153">
        <v>0.830563326946756</v>
      </c>
      <c r="Z25" s="153">
        <v>0.830563326946756</v>
      </c>
      <c r="AA25" s="153">
        <v>0.830563326946756</v>
      </c>
      <c r="AB25" s="153">
        <v>0.830563326946756</v>
      </c>
      <c r="AC25" s="153">
        <v>0.830563326946756</v>
      </c>
      <c r="AD25" s="153">
        <v>0.830563326946756</v>
      </c>
      <c r="AE25" s="153">
        <v>0.830563326946756</v>
      </c>
    </row>
    <row r="26" ht="12.75">
      <c r="B26" t="s">
        <v>124</v>
      </c>
    </row>
    <row r="27" ht="12.75">
      <c r="B27" t="s">
        <v>125</v>
      </c>
    </row>
    <row r="28" ht="12.75">
      <c r="B28" t="s">
        <v>126</v>
      </c>
    </row>
    <row r="30" ht="12.75">
      <c r="B30" s="66" t="s">
        <v>202</v>
      </c>
    </row>
    <row r="31" ht="12.75">
      <c r="B31" s="66" t="s">
        <v>203</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P44"/>
  <sheetViews>
    <sheetView workbookViewId="0" topLeftCell="A10">
      <selection activeCell="C36" sqref="C36"/>
    </sheetView>
  </sheetViews>
  <sheetFormatPr defaultColWidth="9.140625" defaultRowHeight="12.75"/>
  <cols>
    <col min="1" max="1" width="21.140625" style="0" customWidth="1"/>
    <col min="11" max="11" width="10.7109375" style="0" customWidth="1"/>
  </cols>
  <sheetData>
    <row r="1" ht="15">
      <c r="A1" s="68" t="s">
        <v>188</v>
      </c>
    </row>
    <row r="3" s="31" customFormat="1" ht="12.75">
      <c r="A3" s="44" t="s">
        <v>147</v>
      </c>
    </row>
    <row r="4" s="31" customFormat="1" ht="12.75"/>
    <row r="5" spans="1:15" s="31" customFormat="1" ht="12.75">
      <c r="A5" s="44" t="s">
        <v>144</v>
      </c>
      <c r="B5" s="45">
        <f>'Résumé scénarios'!R8</f>
        <v>100000</v>
      </c>
      <c r="C5" s="45">
        <f>'Résumé scénarios'!S8</f>
        <v>200000</v>
      </c>
      <c r="D5" s="45">
        <f>'Résumé scénarios'!T8</f>
        <v>300000</v>
      </c>
      <c r="E5" s="45">
        <f>'Résumé scénarios'!U8</f>
        <v>500000</v>
      </c>
      <c r="F5" s="45">
        <f>'Résumé scénarios'!V8</f>
        <v>800000</v>
      </c>
      <c r="G5" s="45">
        <f>'Résumé scénarios'!W8</f>
        <v>1000000</v>
      </c>
      <c r="H5" s="45">
        <f>'Résumé scénarios'!X8</f>
        <v>1100000</v>
      </c>
      <c r="I5" s="45">
        <f>'Résumé scénarios'!Y8</f>
        <v>1500000</v>
      </c>
      <c r="J5" s="45">
        <f>'Résumé scénarios'!Z8</f>
        <v>2000000</v>
      </c>
      <c r="K5" s="45">
        <f>'Résumé scénarios'!AA8</f>
        <v>2500000</v>
      </c>
      <c r="L5" s="45">
        <f>'Résumé scénarios'!AB8</f>
        <v>3000000</v>
      </c>
      <c r="M5" s="45">
        <f>'Résumé scénarios'!AC8</f>
        <v>3500000</v>
      </c>
      <c r="N5" s="45">
        <f>'Résumé scénarios'!AD8</f>
        <v>4500000</v>
      </c>
      <c r="O5" s="45">
        <f>'Résumé scénarios'!AE8</f>
        <v>5000000</v>
      </c>
    </row>
    <row r="6" spans="1:16" s="31" customFormat="1" ht="12.75">
      <c r="A6" s="44" t="s">
        <v>145</v>
      </c>
      <c r="B6" s="46">
        <f>B5/1000/1000</f>
        <v>0.1</v>
      </c>
      <c r="C6" s="46">
        <f aca="true" t="shared" si="0" ref="C6:O6">C5/1000/1000</f>
        <v>0.2</v>
      </c>
      <c r="D6" s="46">
        <f t="shared" si="0"/>
        <v>0.3</v>
      </c>
      <c r="E6" s="46">
        <f t="shared" si="0"/>
        <v>0.5</v>
      </c>
      <c r="F6" s="46">
        <f t="shared" si="0"/>
        <v>0.8</v>
      </c>
      <c r="G6" s="46">
        <f t="shared" si="0"/>
        <v>1</v>
      </c>
      <c r="H6" s="46">
        <f t="shared" si="0"/>
        <v>1.1</v>
      </c>
      <c r="I6" s="46">
        <f t="shared" si="0"/>
        <v>1.5</v>
      </c>
      <c r="J6" s="46">
        <f t="shared" si="0"/>
        <v>2</v>
      </c>
      <c r="K6" s="46">
        <f t="shared" si="0"/>
        <v>2.5</v>
      </c>
      <c r="L6" s="46">
        <f t="shared" si="0"/>
        <v>3</v>
      </c>
      <c r="M6" s="46">
        <f t="shared" si="0"/>
        <v>3.5</v>
      </c>
      <c r="N6" s="46">
        <f t="shared" si="0"/>
        <v>4.5</v>
      </c>
      <c r="O6" s="46">
        <f t="shared" si="0"/>
        <v>5</v>
      </c>
      <c r="P6" s="45"/>
    </row>
    <row r="7" spans="1:16" s="31" customFormat="1" ht="12.75">
      <c r="A7" s="31" t="s">
        <v>53</v>
      </c>
      <c r="B7" s="47">
        <f>'Résumé scénarios'!R17</f>
        <v>0</v>
      </c>
      <c r="C7" s="47">
        <f>'Résumé scénarios'!S17</f>
        <v>0</v>
      </c>
      <c r="D7" s="47">
        <f>'Résumé scénarios'!T17</f>
        <v>0</v>
      </c>
      <c r="E7" s="47">
        <f>'Résumé scénarios'!U17</f>
        <v>0</v>
      </c>
      <c r="F7" s="47">
        <f>'Résumé scénarios'!V17</f>
        <v>67.5</v>
      </c>
      <c r="G7" s="47">
        <f>'Résumé scénarios'!W17</f>
        <v>71.6666666666667</v>
      </c>
      <c r="H7" s="47">
        <f>'Résumé scénarios'!X17</f>
        <v>80.8333333333333</v>
      </c>
      <c r="I7" s="47">
        <f>'Résumé scénarios'!Y17</f>
        <v>98.3333333333333</v>
      </c>
      <c r="J7" s="47">
        <f>'Résumé scénarios'!Z17</f>
        <v>100</v>
      </c>
      <c r="K7" s="47">
        <f>'Résumé scénarios'!AA17</f>
        <v>41.6666666666667</v>
      </c>
      <c r="L7" s="47">
        <f>'Résumé scénarios'!AB17</f>
        <v>19.1666666666667</v>
      </c>
      <c r="M7" s="47">
        <f>'Résumé scénarios'!AC17</f>
        <v>3.33333333333333</v>
      </c>
      <c r="N7" s="47">
        <f>'Résumé scénarios'!AD17</f>
        <v>0</v>
      </c>
      <c r="O7" s="47">
        <f>'Résumé scénarios'!AE17</f>
        <v>0</v>
      </c>
      <c r="P7" s="47"/>
    </row>
    <row r="8" spans="1:16" s="31" customFormat="1" ht="12.75">
      <c r="A8" s="31" t="s">
        <v>57</v>
      </c>
      <c r="B8" s="47">
        <f>'Résumé scénarios'!R18</f>
        <v>0</v>
      </c>
      <c r="C8" s="47">
        <f>'Résumé scénarios'!S18</f>
        <v>0</v>
      </c>
      <c r="D8" s="47">
        <f>'Résumé scénarios'!T18</f>
        <v>0</v>
      </c>
      <c r="E8" s="47">
        <f>'Résumé scénarios'!U18</f>
        <v>0</v>
      </c>
      <c r="F8" s="47">
        <f>'Résumé scénarios'!V18</f>
        <v>28.2051282051282</v>
      </c>
      <c r="G8" s="47">
        <f>'Résumé scénarios'!W18</f>
        <v>29.4117647058824</v>
      </c>
      <c r="H8" s="47">
        <f>'Résumé scénarios'!X18</f>
        <v>43.4782608695652</v>
      </c>
      <c r="I8" s="47">
        <f>'Résumé scénarios'!Y18</f>
        <v>100</v>
      </c>
      <c r="J8" s="47">
        <f>'Résumé scénarios'!Z18</f>
        <v>100</v>
      </c>
      <c r="K8" s="47">
        <f>'Résumé scénarios'!AA18</f>
        <v>15.7142857142857</v>
      </c>
      <c r="L8" s="47">
        <f>'Résumé scénarios'!AB18</f>
        <v>6.18556701030928</v>
      </c>
      <c r="M8" s="47">
        <f>'Résumé scénarios'!AC18</f>
        <v>1.72413793103448</v>
      </c>
      <c r="N8" s="47">
        <f>'Résumé scénarios'!AD18</f>
        <v>0</v>
      </c>
      <c r="O8" s="47">
        <f>'Résumé scénarios'!AE18</f>
        <v>0</v>
      </c>
      <c r="P8" s="47"/>
    </row>
    <row r="9" spans="1:16" s="31" customFormat="1" ht="12.75">
      <c r="A9" s="31" t="s">
        <v>186</v>
      </c>
      <c r="B9" s="47">
        <f>'Résumé scénarios'!R19</f>
        <v>1</v>
      </c>
      <c r="C9" s="47">
        <f>'Résumé scénarios'!S19</f>
        <v>1</v>
      </c>
      <c r="D9" s="47">
        <f>'Résumé scénarios'!T19</f>
        <v>1</v>
      </c>
      <c r="E9" s="47">
        <f>'Résumé scénarios'!U19</f>
        <v>1</v>
      </c>
      <c r="F9" s="47">
        <f>'Résumé scénarios'!V19</f>
        <v>0.947901657246009</v>
      </c>
      <c r="G9" s="47">
        <f>'Résumé scénarios'!W19</f>
        <v>0.605594681126692</v>
      </c>
      <c r="H9" s="47">
        <f>'Résumé scénarios'!X19</f>
        <v>0.422649730810374</v>
      </c>
      <c r="I9" s="47">
        <f>'Résumé scénarios'!Y19</f>
        <v>0.082576070365141</v>
      </c>
      <c r="J9" s="47">
        <f>'Résumé scénarios'!Z19</f>
        <v>0</v>
      </c>
      <c r="K9" s="47">
        <f>'Résumé scénarios'!AA19</f>
        <v>0.10818510677892</v>
      </c>
      <c r="L9" s="47">
        <f>'Résumé scénarios'!AB19</f>
        <v>0.309401076758503</v>
      </c>
      <c r="M9" s="47">
        <f>'Résumé scénarios'!AC19</f>
        <v>0.494438257849294</v>
      </c>
      <c r="N9" s="47">
        <f>'Résumé scénarios'!AD19</f>
        <v>0.82842712474619</v>
      </c>
      <c r="O9" s="47">
        <f>'Résumé scénarios'!AE19</f>
        <v>0.98142396999972</v>
      </c>
      <c r="P9" s="50"/>
    </row>
    <row r="10" spans="1:16" s="31" customFormat="1" ht="12.75">
      <c r="A10" s="31" t="s">
        <v>187</v>
      </c>
      <c r="B10" s="48">
        <f>B9*100</f>
        <v>100</v>
      </c>
      <c r="C10" s="48">
        <f aca="true" t="shared" si="1" ref="C10:O10">C9*100</f>
        <v>100</v>
      </c>
      <c r="D10" s="48">
        <f t="shared" si="1"/>
        <v>100</v>
      </c>
      <c r="E10" s="48">
        <f t="shared" si="1"/>
        <v>100</v>
      </c>
      <c r="F10" s="48">
        <f t="shared" si="1"/>
        <v>94.79016572460091</v>
      </c>
      <c r="G10" s="48">
        <f t="shared" si="1"/>
        <v>60.5594681126692</v>
      </c>
      <c r="H10" s="48">
        <f t="shared" si="1"/>
        <v>42.2649730810374</v>
      </c>
      <c r="I10" s="48">
        <f t="shared" si="1"/>
        <v>8.2576070365141</v>
      </c>
      <c r="J10" s="48">
        <f t="shared" si="1"/>
        <v>0</v>
      </c>
      <c r="K10" s="48">
        <f t="shared" si="1"/>
        <v>10.818510677892</v>
      </c>
      <c r="L10" s="48">
        <f t="shared" si="1"/>
        <v>30.9401076758503</v>
      </c>
      <c r="M10" s="48">
        <f t="shared" si="1"/>
        <v>49.4438257849294</v>
      </c>
      <c r="N10" s="48">
        <f t="shared" si="1"/>
        <v>82.84271247461899</v>
      </c>
      <c r="O10" s="48">
        <f t="shared" si="1"/>
        <v>98.14239699997201</v>
      </c>
      <c r="P10" s="48"/>
    </row>
    <row r="11" spans="1:7" s="31" customFormat="1" ht="12.75">
      <c r="A11" s="30"/>
      <c r="B11" s="49"/>
      <c r="C11" s="49"/>
      <c r="D11" s="51"/>
      <c r="E11" s="52"/>
      <c r="F11" s="49"/>
      <c r="G11" s="49"/>
    </row>
    <row r="12" spans="1:7" s="31" customFormat="1" ht="12.75">
      <c r="A12" s="30"/>
      <c r="B12" s="49"/>
      <c r="C12" s="49"/>
      <c r="D12" s="51"/>
      <c r="E12" s="52"/>
      <c r="F12" s="49"/>
      <c r="G12" s="49"/>
    </row>
    <row r="13" spans="1:7" s="31" customFormat="1" ht="12.75">
      <c r="A13" s="31" t="s">
        <v>83</v>
      </c>
      <c r="B13" s="31">
        <v>0.5</v>
      </c>
      <c r="C13" s="31" t="s">
        <v>84</v>
      </c>
      <c r="E13" s="52"/>
      <c r="F13" s="49"/>
      <c r="G13" s="49"/>
    </row>
    <row r="14" spans="1:7" s="31" customFormat="1" ht="12.75">
      <c r="A14" s="31" t="s">
        <v>69</v>
      </c>
      <c r="B14" s="31">
        <v>7.5</v>
      </c>
      <c r="C14" s="31" t="s">
        <v>82</v>
      </c>
      <c r="E14" s="52"/>
      <c r="F14" s="49"/>
      <c r="G14" s="49"/>
    </row>
    <row r="15" spans="1:7" s="31" customFormat="1" ht="12.75">
      <c r="A15" s="31" t="s">
        <v>131</v>
      </c>
      <c r="B15" s="31">
        <v>18</v>
      </c>
      <c r="C15" s="31" t="s">
        <v>133</v>
      </c>
      <c r="E15" s="52"/>
      <c r="F15" s="49"/>
      <c r="G15" s="49"/>
    </row>
    <row r="16" spans="1:7" s="31" customFormat="1" ht="12.75">
      <c r="A16" s="31" t="s">
        <v>132</v>
      </c>
      <c r="B16" s="31">
        <v>35</v>
      </c>
      <c r="C16" s="31" t="s">
        <v>133</v>
      </c>
      <c r="E16" s="49"/>
      <c r="F16" s="49"/>
      <c r="G16" s="49"/>
    </row>
    <row r="17" spans="2:7" ht="12.75">
      <c r="B17" s="4"/>
      <c r="C17" s="4"/>
      <c r="D17" s="4"/>
      <c r="E17" s="4"/>
      <c r="F17" s="4"/>
      <c r="G17" s="4"/>
    </row>
    <row r="18" s="53" customFormat="1" ht="12.75" customHeight="1">
      <c r="A18" s="54" t="s">
        <v>148</v>
      </c>
    </row>
    <row r="19" s="53" customFormat="1" ht="12.75"/>
    <row r="20" spans="1:8" s="53" customFormat="1" ht="12.75">
      <c r="A20" s="54" t="s">
        <v>81</v>
      </c>
      <c r="B20" s="54">
        <f>'Résumé scénarios'!K7</f>
        <v>0</v>
      </c>
      <c r="C20" s="54">
        <f>'Résumé scénarios'!L7</f>
        <v>0.2</v>
      </c>
      <c r="D20" s="54">
        <f>'Résumé scénarios'!M7</f>
        <v>0.4</v>
      </c>
      <c r="E20" s="54">
        <f>'Résumé scénarios'!N7</f>
        <v>0.5</v>
      </c>
      <c r="F20" s="54">
        <f>'Résumé scénarios'!O7</f>
        <v>0.6</v>
      </c>
      <c r="G20" s="54">
        <f>'Résumé scénarios'!P7</f>
        <v>0.8</v>
      </c>
      <c r="H20" s="54">
        <f>'Résumé scénarios'!Q7</f>
        <v>0.9</v>
      </c>
    </row>
    <row r="21" spans="1:8" s="53" customFormat="1" ht="12.75">
      <c r="A21" s="53" t="s">
        <v>3</v>
      </c>
      <c r="B21" s="55">
        <f>'Résumé scénarios'!K17</f>
        <v>69.1666666666667</v>
      </c>
      <c r="C21" s="55">
        <f>'Résumé scénarios'!L17</f>
        <v>69.1666666666667</v>
      </c>
      <c r="D21" s="55">
        <f>'Résumé scénarios'!M17</f>
        <v>71.6666666666667</v>
      </c>
      <c r="E21" s="55">
        <f>'Résumé scénarios'!N17</f>
        <v>71.6666666666667</v>
      </c>
      <c r="F21" s="55">
        <f>'Résumé scénarios'!O17</f>
        <v>75</v>
      </c>
      <c r="G21" s="55">
        <f>'Résumé scénarios'!P17</f>
        <v>87.5</v>
      </c>
      <c r="H21" s="55">
        <f>'Résumé scénarios'!Q17</f>
        <v>87.5</v>
      </c>
    </row>
    <row r="22" spans="1:8" s="53" customFormat="1" ht="12.75">
      <c r="A22" s="53" t="s">
        <v>4</v>
      </c>
      <c r="B22" s="55">
        <f>'Résumé scénarios'!K18</f>
        <v>29.7297297297297</v>
      </c>
      <c r="C22" s="55">
        <f>'Résumé scénarios'!L18</f>
        <v>29.7297297297297</v>
      </c>
      <c r="D22" s="55">
        <f>'Résumé scénarios'!M18</f>
        <v>29.4117647058824</v>
      </c>
      <c r="E22" s="55">
        <f>'Résumé scénarios'!N18</f>
        <v>29.4117647058824</v>
      </c>
      <c r="F22" s="55">
        <f>'Résumé scénarios'!O18</f>
        <v>33.3333333333333</v>
      </c>
      <c r="G22" s="55">
        <f>'Résumé scénarios'!P18</f>
        <v>53.3333333333333</v>
      </c>
      <c r="H22" s="55">
        <f>'Résumé scénarios'!Q18</f>
        <v>53.3333333333333</v>
      </c>
    </row>
    <row r="23" spans="1:8" s="53" customFormat="1" ht="12.75">
      <c r="A23" s="53" t="s">
        <v>186</v>
      </c>
      <c r="B23" s="55">
        <f>'Résumé scénarios'!K19</f>
        <v>1</v>
      </c>
      <c r="C23" s="55">
        <f>'Résumé scénarios'!L19</f>
        <v>1</v>
      </c>
      <c r="D23" s="55">
        <f>'Résumé scénarios'!M19</f>
        <v>0.605675241589511</v>
      </c>
      <c r="E23" s="55">
        <f>'Résumé scénarios'!N19</f>
        <v>0.605594681126692</v>
      </c>
      <c r="F23" s="55">
        <f>'Résumé scénarios'!O19</f>
        <v>0.401443575865009</v>
      </c>
      <c r="G23" s="55">
        <f>'Résumé scénarios'!P19</f>
        <v>0.250926498191859</v>
      </c>
      <c r="H23" s="55">
        <f>'Résumé scénarios'!Q19</f>
        <v>0.250926498191859</v>
      </c>
    </row>
    <row r="24" spans="1:8" s="53" customFormat="1" ht="12.75">
      <c r="A24" s="53" t="s">
        <v>187</v>
      </c>
      <c r="B24" s="55">
        <f aca="true" t="shared" si="2" ref="B24:H24">B23*100</f>
        <v>100</v>
      </c>
      <c r="C24" s="55">
        <f t="shared" si="2"/>
        <v>100</v>
      </c>
      <c r="D24" s="55">
        <f t="shared" si="2"/>
        <v>60.5675241589511</v>
      </c>
      <c r="E24" s="55">
        <f t="shared" si="2"/>
        <v>60.5594681126692</v>
      </c>
      <c r="F24" s="55">
        <f t="shared" si="2"/>
        <v>40.1443575865009</v>
      </c>
      <c r="G24" s="55">
        <f t="shared" si="2"/>
        <v>25.0926498191859</v>
      </c>
      <c r="H24" s="55">
        <f t="shared" si="2"/>
        <v>25.0926498191859</v>
      </c>
    </row>
    <row r="25" spans="2:7" s="53" customFormat="1" ht="12.75">
      <c r="B25" s="55"/>
      <c r="C25" s="55"/>
      <c r="D25" s="55"/>
      <c r="E25" s="55"/>
      <c r="F25" s="55"/>
      <c r="G25" s="55"/>
    </row>
    <row r="26" spans="2:7" s="53" customFormat="1" ht="12.75">
      <c r="B26" s="55"/>
      <c r="C26" s="55"/>
      <c r="D26" s="55"/>
      <c r="E26" s="55"/>
      <c r="F26" s="55"/>
      <c r="G26" s="55"/>
    </row>
    <row r="27" spans="1:7" s="53" customFormat="1" ht="12.75">
      <c r="A27" s="53" t="s">
        <v>79</v>
      </c>
      <c r="B27" s="53">
        <v>1000000</v>
      </c>
      <c r="C27" s="53" t="s">
        <v>2</v>
      </c>
      <c r="D27" s="55"/>
      <c r="E27" s="55"/>
      <c r="F27" s="55"/>
      <c r="G27" s="55"/>
    </row>
    <row r="28" spans="1:7" s="53" customFormat="1" ht="12.75">
      <c r="A28" s="53" t="s">
        <v>69</v>
      </c>
      <c r="B28" s="53">
        <v>7.5</v>
      </c>
      <c r="C28" s="53" t="s">
        <v>82</v>
      </c>
      <c r="D28" s="55"/>
      <c r="E28" s="55"/>
      <c r="F28" s="55"/>
      <c r="G28" s="55"/>
    </row>
    <row r="29" spans="1:7" s="53" customFormat="1" ht="12.75">
      <c r="A29" s="53" t="s">
        <v>131</v>
      </c>
      <c r="B29" s="53">
        <v>18</v>
      </c>
      <c r="C29" s="53" t="s">
        <v>133</v>
      </c>
      <c r="D29" s="55"/>
      <c r="E29" s="55"/>
      <c r="F29" s="55"/>
      <c r="G29" s="55"/>
    </row>
    <row r="30" spans="1:7" s="53" customFormat="1" ht="12.75">
      <c r="A30" s="53" t="s">
        <v>132</v>
      </c>
      <c r="B30" s="53">
        <v>35</v>
      </c>
      <c r="C30" s="53" t="s">
        <v>133</v>
      </c>
      <c r="D30" s="55"/>
      <c r="E30" s="55"/>
      <c r="F30" s="55"/>
      <c r="G30" s="55"/>
    </row>
    <row r="32" s="56" customFormat="1" ht="12.75">
      <c r="A32" s="57" t="s">
        <v>149</v>
      </c>
    </row>
    <row r="33" s="56" customFormat="1" ht="12.75"/>
    <row r="34" spans="1:8" s="56" customFormat="1" ht="12.75">
      <c r="A34" s="57" t="s">
        <v>146</v>
      </c>
      <c r="B34" s="57">
        <f>'Résumé scénarios'!E6</f>
        <v>2</v>
      </c>
      <c r="C34" s="57">
        <f>'Résumé scénarios'!F6</f>
        <v>5</v>
      </c>
      <c r="D34" s="57">
        <f>'Résumé scénarios'!G6</f>
        <v>7.5</v>
      </c>
      <c r="E34" s="57">
        <f>'Résumé scénarios'!H6</f>
        <v>10</v>
      </c>
      <c r="F34" s="57">
        <f>'Résumé scénarios'!I6</f>
        <v>10</v>
      </c>
      <c r="G34" s="57">
        <f>'Résumé scénarios'!J6</f>
        <v>15</v>
      </c>
      <c r="H34" s="57"/>
    </row>
    <row r="35" spans="1:7" s="56" customFormat="1" ht="12.75">
      <c r="A35" s="58" t="s">
        <v>3</v>
      </c>
      <c r="B35" s="59">
        <f>'Résumé scénarios'!E17</f>
        <v>100</v>
      </c>
      <c r="C35" s="59">
        <f>'Résumé scénarios'!F17</f>
        <v>87.5</v>
      </c>
      <c r="D35" s="59">
        <f>'Résumé scénarios'!G17</f>
        <v>71.6666666666667</v>
      </c>
      <c r="E35" s="59">
        <f>'Résumé scénarios'!H17</f>
        <v>65.8333333333333</v>
      </c>
      <c r="F35" s="59">
        <f>'Résumé scénarios'!I17</f>
        <v>65.8333333333333</v>
      </c>
      <c r="G35" s="59">
        <f>'Résumé scénarios'!J17</f>
        <v>50.8333333333333</v>
      </c>
    </row>
    <row r="36" spans="1:7" s="56" customFormat="1" ht="12.75">
      <c r="A36" s="58" t="s">
        <v>4</v>
      </c>
      <c r="B36" s="59">
        <f>'Résumé scénarios'!E18</f>
        <v>100</v>
      </c>
      <c r="C36" s="59">
        <f>'Résumé scénarios'!F18</f>
        <v>53.3333333333333</v>
      </c>
      <c r="D36" s="59">
        <f>'Résumé scénarios'!G18</f>
        <v>29.4117647058824</v>
      </c>
      <c r="E36" s="59">
        <f>'Résumé scénarios'!H18</f>
        <v>34.1463414634146</v>
      </c>
      <c r="F36" s="59">
        <f>'Résumé scénarios'!I18</f>
        <v>34.1463414634146</v>
      </c>
      <c r="G36" s="59">
        <f>'Résumé scénarios'!J18</f>
        <v>27.1186440677966</v>
      </c>
    </row>
    <row r="37" spans="1:7" s="56" customFormat="1" ht="12.75">
      <c r="A37" s="58" t="s">
        <v>186</v>
      </c>
      <c r="B37" s="59">
        <f>'Résumé scénarios'!E19</f>
        <v>0</v>
      </c>
      <c r="C37" s="59">
        <f>'Résumé scénarios'!F19</f>
        <v>0.250926498191859</v>
      </c>
      <c r="D37" s="59">
        <f>'Résumé scénarios'!G19</f>
        <v>0.605594681126692</v>
      </c>
      <c r="E37" s="59">
        <f>'Résumé scénarios'!H19</f>
        <v>1</v>
      </c>
      <c r="F37" s="59">
        <f>'Résumé scénarios'!I19</f>
        <v>1</v>
      </c>
      <c r="G37" s="59">
        <f>'Résumé scénarios'!J19</f>
        <v>1</v>
      </c>
    </row>
    <row r="38" spans="1:7" s="56" customFormat="1" ht="12.75">
      <c r="A38" s="58" t="s">
        <v>187</v>
      </c>
      <c r="B38" s="59">
        <f aca="true" t="shared" si="3" ref="B38:G38">B37*100</f>
        <v>0</v>
      </c>
      <c r="C38" s="59">
        <f t="shared" si="3"/>
        <v>25.0926498191859</v>
      </c>
      <c r="D38" s="59">
        <f t="shared" si="3"/>
        <v>60.5594681126692</v>
      </c>
      <c r="E38" s="59">
        <f t="shared" si="3"/>
        <v>100</v>
      </c>
      <c r="F38" s="59">
        <f t="shared" si="3"/>
        <v>100</v>
      </c>
      <c r="G38" s="59">
        <f t="shared" si="3"/>
        <v>100</v>
      </c>
    </row>
    <row r="39" spans="1:7" s="56" customFormat="1" ht="12.75">
      <c r="A39" s="58"/>
      <c r="B39" s="59"/>
      <c r="C39" s="59"/>
      <c r="D39" s="59"/>
      <c r="E39" s="59"/>
      <c r="F39" s="59"/>
      <c r="G39" s="59"/>
    </row>
    <row r="40" s="56" customFormat="1" ht="12.75"/>
    <row r="41" spans="1:3" s="56" customFormat="1" ht="12.75">
      <c r="A41" s="56" t="s">
        <v>79</v>
      </c>
      <c r="B41" s="62">
        <v>1000000</v>
      </c>
      <c r="C41" s="56" t="s">
        <v>2</v>
      </c>
    </row>
    <row r="42" spans="1:3" s="56" customFormat="1" ht="12.75">
      <c r="A42" s="56" t="s">
        <v>150</v>
      </c>
      <c r="B42" s="56">
        <v>0.5</v>
      </c>
      <c r="C42" s="56" t="s">
        <v>84</v>
      </c>
    </row>
    <row r="43" spans="1:3" s="56" customFormat="1" ht="12.75">
      <c r="A43" s="56" t="s">
        <v>131</v>
      </c>
      <c r="B43" s="56">
        <v>18</v>
      </c>
      <c r="C43" s="56" t="s">
        <v>133</v>
      </c>
    </row>
    <row r="44" spans="1:3" s="56" customFormat="1" ht="12.75">
      <c r="A44" s="56" t="s">
        <v>132</v>
      </c>
      <c r="B44" s="56">
        <v>35</v>
      </c>
      <c r="C44" s="56" t="s">
        <v>133</v>
      </c>
    </row>
  </sheetData>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O41"/>
  <sheetViews>
    <sheetView workbookViewId="0" topLeftCell="A7">
      <selection activeCell="C35" sqref="C35"/>
    </sheetView>
  </sheetViews>
  <sheetFormatPr defaultColWidth="9.140625" defaultRowHeight="12.75"/>
  <cols>
    <col min="1" max="1" width="21.57421875" style="0" customWidth="1"/>
    <col min="2" max="2" width="9.57421875" style="0" bestFit="1" customWidth="1"/>
    <col min="6" max="6" width="9.57421875" style="0" bestFit="1" customWidth="1"/>
  </cols>
  <sheetData>
    <row r="1" ht="15">
      <c r="A1" s="68" t="s">
        <v>189</v>
      </c>
    </row>
    <row r="3" s="31" customFormat="1" ht="12.75">
      <c r="A3" s="44" t="s">
        <v>147</v>
      </c>
    </row>
    <row r="4" s="31" customFormat="1" ht="12.75"/>
    <row r="5" spans="1:15" s="31" customFormat="1" ht="12.75">
      <c r="A5" s="44" t="s">
        <v>144</v>
      </c>
      <c r="B5" s="45">
        <f>'Résumé scénarios'!R8</f>
        <v>100000</v>
      </c>
      <c r="C5" s="45">
        <f>'Résumé scénarios'!S8</f>
        <v>200000</v>
      </c>
      <c r="D5" s="45">
        <f>'Résumé scénarios'!T8</f>
        <v>300000</v>
      </c>
      <c r="E5" s="45">
        <f>'Résumé scénarios'!U8</f>
        <v>500000</v>
      </c>
      <c r="F5" s="45">
        <f>'Résumé scénarios'!V8</f>
        <v>800000</v>
      </c>
      <c r="G5" s="45">
        <f>'Résumé scénarios'!W8</f>
        <v>1000000</v>
      </c>
      <c r="H5" s="45">
        <f>'Résumé scénarios'!X8</f>
        <v>1100000</v>
      </c>
      <c r="I5" s="45">
        <f>'Résumé scénarios'!Y8</f>
        <v>1500000</v>
      </c>
      <c r="J5" s="45">
        <f>'Résumé scénarios'!Z8</f>
        <v>2000000</v>
      </c>
      <c r="K5" s="45">
        <f>'Résumé scénarios'!AA8</f>
        <v>2500000</v>
      </c>
      <c r="L5" s="45">
        <f>'Résumé scénarios'!AB8</f>
        <v>3000000</v>
      </c>
      <c r="M5" s="45">
        <f>'Résumé scénarios'!AC8</f>
        <v>3500000</v>
      </c>
      <c r="N5" s="45">
        <f>'Résumé scénarios'!AD8</f>
        <v>4500000</v>
      </c>
      <c r="O5" s="45">
        <f>'Résumé scénarios'!AE8</f>
        <v>5000000</v>
      </c>
    </row>
    <row r="6" spans="1:15" s="31" customFormat="1" ht="12.75">
      <c r="A6" s="44" t="s">
        <v>145</v>
      </c>
      <c r="B6" s="46">
        <f>B5/1000/1000</f>
        <v>0.1</v>
      </c>
      <c r="C6" s="46">
        <f aca="true" t="shared" si="0" ref="C6:O6">C5/1000/1000</f>
        <v>0.2</v>
      </c>
      <c r="D6" s="46">
        <f t="shared" si="0"/>
        <v>0.3</v>
      </c>
      <c r="E6" s="46">
        <f t="shared" si="0"/>
        <v>0.5</v>
      </c>
      <c r="F6" s="46">
        <f t="shared" si="0"/>
        <v>0.8</v>
      </c>
      <c r="G6" s="46">
        <f t="shared" si="0"/>
        <v>1</v>
      </c>
      <c r="H6" s="46">
        <f t="shared" si="0"/>
        <v>1.1</v>
      </c>
      <c r="I6" s="46">
        <f t="shared" si="0"/>
        <v>1.5</v>
      </c>
      <c r="J6" s="46">
        <f t="shared" si="0"/>
        <v>2</v>
      </c>
      <c r="K6" s="46">
        <f t="shared" si="0"/>
        <v>2.5</v>
      </c>
      <c r="L6" s="46">
        <f t="shared" si="0"/>
        <v>3</v>
      </c>
      <c r="M6" s="46">
        <f t="shared" si="0"/>
        <v>3.5</v>
      </c>
      <c r="N6" s="46">
        <f t="shared" si="0"/>
        <v>4.5</v>
      </c>
      <c r="O6" s="46">
        <f t="shared" si="0"/>
        <v>5</v>
      </c>
    </row>
    <row r="7" spans="1:15" s="31" customFormat="1" ht="12.75">
      <c r="A7" s="31" t="s">
        <v>53</v>
      </c>
      <c r="B7" s="47">
        <f>'Résumé scénarios'!R14</f>
        <v>0</v>
      </c>
      <c r="C7" s="47">
        <f>'Résumé scénarios'!S14</f>
        <v>0</v>
      </c>
      <c r="D7" s="47">
        <f>'Résumé scénarios'!T14</f>
        <v>0</v>
      </c>
      <c r="E7" s="47">
        <f>'Résumé scénarios'!U14</f>
        <v>0</v>
      </c>
      <c r="F7" s="47">
        <f>'Résumé scénarios'!V14</f>
        <v>67.5</v>
      </c>
      <c r="G7" s="47">
        <f>'Résumé scénarios'!W14</f>
        <v>71.6666666666667</v>
      </c>
      <c r="H7" s="47">
        <f>'Résumé scénarios'!X14</f>
        <v>80.8333333333333</v>
      </c>
      <c r="I7" s="47">
        <f>'Résumé scénarios'!Y14</f>
        <v>98.3333333333333</v>
      </c>
      <c r="J7" s="47">
        <f>'Résumé scénarios'!Z14</f>
        <v>100</v>
      </c>
      <c r="K7" s="47">
        <f>'Résumé scénarios'!AA14</f>
        <v>100</v>
      </c>
      <c r="L7" s="47">
        <f>'Résumé scénarios'!AB14</f>
        <v>100</v>
      </c>
      <c r="M7" s="47">
        <f>'Résumé scénarios'!AC14</f>
        <v>100</v>
      </c>
      <c r="N7" s="47">
        <f>'Résumé scénarios'!AD14</f>
        <v>100</v>
      </c>
      <c r="O7" s="47">
        <f>'Résumé scénarios'!AE14</f>
        <v>100</v>
      </c>
    </row>
    <row r="8" spans="1:15" s="31" customFormat="1" ht="12.75">
      <c r="A8" s="31" t="s">
        <v>57</v>
      </c>
      <c r="B8" s="47">
        <f>'Résumé scénarios'!R15</f>
        <v>0</v>
      </c>
      <c r="C8" s="47">
        <f>'Résumé scénarios'!S15</f>
        <v>0</v>
      </c>
      <c r="D8" s="47">
        <f>'Résumé scénarios'!T15</f>
        <v>0</v>
      </c>
      <c r="E8" s="47">
        <f>'Résumé scénarios'!U15</f>
        <v>0</v>
      </c>
      <c r="F8" s="47">
        <f>'Résumé scénarios'!V15</f>
        <v>28.2051282051282</v>
      </c>
      <c r="G8" s="47">
        <f>'Résumé scénarios'!W15</f>
        <v>29.4117647058824</v>
      </c>
      <c r="H8" s="47">
        <f>'Résumé scénarios'!X15</f>
        <v>43.4782608695652</v>
      </c>
      <c r="I8" s="47">
        <f>'Résumé scénarios'!Y15</f>
        <v>100</v>
      </c>
      <c r="J8" s="47">
        <f>'Résumé scénarios'!Z15</f>
        <v>100</v>
      </c>
      <c r="K8" s="47">
        <f>'Résumé scénarios'!AA15</f>
        <v>100</v>
      </c>
      <c r="L8" s="47">
        <f>'Résumé scénarios'!AB15</f>
        <v>100</v>
      </c>
      <c r="M8" s="47">
        <f>'Résumé scénarios'!AC15</f>
        <v>100</v>
      </c>
      <c r="N8" s="47">
        <f>'Résumé scénarios'!AD15</f>
        <v>100</v>
      </c>
      <c r="O8" s="47">
        <f>'Résumé scénarios'!AE15</f>
        <v>100</v>
      </c>
    </row>
    <row r="9" spans="1:15" s="31" customFormat="1" ht="12.75">
      <c r="A9" s="31" t="s">
        <v>186</v>
      </c>
      <c r="B9" s="47">
        <f>'Résumé scénarios'!R16</f>
        <v>0.999999998728434</v>
      </c>
      <c r="C9" s="47">
        <f>'Résumé scénarios'!S16</f>
        <v>0.999999998728434</v>
      </c>
      <c r="D9" s="47">
        <f>'Résumé scénarios'!T16</f>
        <v>0.999999998728434</v>
      </c>
      <c r="E9" s="47">
        <f>'Résumé scénarios'!U16</f>
        <v>0.999986666666667</v>
      </c>
      <c r="F9" s="47">
        <f>'Résumé scénarios'!V16</f>
        <v>0.947901657246009</v>
      </c>
      <c r="G9" s="47">
        <f>'Résumé scénarios'!W16</f>
        <v>0.605594681126692</v>
      </c>
      <c r="H9" s="47">
        <f>'Résumé scénarios'!X16</f>
        <v>0.422649730810374</v>
      </c>
      <c r="I9" s="47">
        <f>'Résumé scénarios'!Y16</f>
        <v>0.0825760703651409</v>
      </c>
      <c r="J9" s="47">
        <f>'Résumé scénarios'!Z16</f>
        <v>0</v>
      </c>
      <c r="K9" s="47">
        <f>'Résumé scénarios'!AA16</f>
        <v>0</v>
      </c>
      <c r="L9" s="47">
        <f>'Résumé scénarios'!AB16</f>
        <v>0</v>
      </c>
      <c r="M9" s="47">
        <f>'Résumé scénarios'!AC16</f>
        <v>0</v>
      </c>
      <c r="N9" s="47">
        <f>'Résumé scénarios'!AD16</f>
        <v>0</v>
      </c>
      <c r="O9" s="47">
        <f>'Résumé scénarios'!AE16</f>
        <v>0</v>
      </c>
    </row>
    <row r="10" spans="1:15" s="31" customFormat="1" ht="12.75">
      <c r="A10" s="31" t="s">
        <v>187</v>
      </c>
      <c r="B10" s="48">
        <f>B9*100</f>
        <v>99.9999998728434</v>
      </c>
      <c r="C10" s="48">
        <f aca="true" t="shared" si="1" ref="C10:O10">C9*100</f>
        <v>99.9999998728434</v>
      </c>
      <c r="D10" s="48">
        <f t="shared" si="1"/>
        <v>99.9999998728434</v>
      </c>
      <c r="E10" s="48">
        <f t="shared" si="1"/>
        <v>99.99866666666671</v>
      </c>
      <c r="F10" s="48">
        <f t="shared" si="1"/>
        <v>94.79016572460091</v>
      </c>
      <c r="G10" s="48">
        <f t="shared" si="1"/>
        <v>60.5594681126692</v>
      </c>
      <c r="H10" s="48">
        <f t="shared" si="1"/>
        <v>42.2649730810374</v>
      </c>
      <c r="I10" s="48">
        <f t="shared" si="1"/>
        <v>8.25760703651409</v>
      </c>
      <c r="J10" s="48">
        <f t="shared" si="1"/>
        <v>0</v>
      </c>
      <c r="K10" s="48">
        <f t="shared" si="1"/>
        <v>0</v>
      </c>
      <c r="L10" s="48">
        <f t="shared" si="1"/>
        <v>0</v>
      </c>
      <c r="M10" s="48">
        <f t="shared" si="1"/>
        <v>0</v>
      </c>
      <c r="N10" s="48">
        <f t="shared" si="1"/>
        <v>0</v>
      </c>
      <c r="O10" s="48">
        <f t="shared" si="1"/>
        <v>0</v>
      </c>
    </row>
    <row r="11" spans="1:7" s="31" customFormat="1" ht="12.75">
      <c r="A11" s="30"/>
      <c r="B11" s="49"/>
      <c r="C11" s="49"/>
      <c r="D11" s="50"/>
      <c r="E11" s="49"/>
      <c r="F11" s="49"/>
      <c r="G11" s="49"/>
    </row>
    <row r="12" spans="1:7" s="31" customFormat="1" ht="12.75">
      <c r="A12" s="30"/>
      <c r="B12" s="49"/>
      <c r="C12" s="49"/>
      <c r="D12" s="50"/>
      <c r="E12" s="49"/>
      <c r="F12" s="49"/>
      <c r="G12" s="49"/>
    </row>
    <row r="13" spans="1:7" s="31" customFormat="1" ht="12.75">
      <c r="A13" s="31" t="s">
        <v>83</v>
      </c>
      <c r="B13" s="31">
        <v>0.5</v>
      </c>
      <c r="C13" s="31" t="s">
        <v>84</v>
      </c>
      <c r="E13" s="49"/>
      <c r="F13" s="49"/>
      <c r="G13" s="49"/>
    </row>
    <row r="14" spans="1:7" s="31" customFormat="1" ht="12.75">
      <c r="A14" s="31" t="s">
        <v>69</v>
      </c>
      <c r="B14" s="31">
        <v>7.5</v>
      </c>
      <c r="C14" s="31" t="s">
        <v>82</v>
      </c>
      <c r="E14" s="49"/>
      <c r="F14" s="49"/>
      <c r="G14" s="49"/>
    </row>
    <row r="15" spans="1:6" s="31" customFormat="1" ht="12.75">
      <c r="A15" s="31" t="s">
        <v>85</v>
      </c>
      <c r="B15" s="31">
        <v>50000</v>
      </c>
      <c r="C15" s="31" t="s">
        <v>1</v>
      </c>
      <c r="E15" s="49"/>
      <c r="F15" s="49"/>
    </row>
    <row r="16" spans="2:6" ht="12.75">
      <c r="B16" s="4"/>
      <c r="C16" s="4"/>
      <c r="D16" s="4"/>
      <c r="E16" s="4"/>
      <c r="F16" s="4"/>
    </row>
    <row r="17" s="53" customFormat="1" ht="12.75" customHeight="1">
      <c r="A17" s="54" t="s">
        <v>148</v>
      </c>
    </row>
    <row r="18" s="53" customFormat="1" ht="12.75"/>
    <row r="19" spans="1:8" s="53" customFormat="1" ht="12.75">
      <c r="A19" s="54" t="s">
        <v>81</v>
      </c>
      <c r="B19" s="54">
        <f>'Résumé scénarios'!K7</f>
        <v>0</v>
      </c>
      <c r="C19" s="54">
        <f>'Résumé scénarios'!L7</f>
        <v>0.2</v>
      </c>
      <c r="D19" s="54">
        <f>'Résumé scénarios'!M7</f>
        <v>0.4</v>
      </c>
      <c r="E19" s="54">
        <f>'Résumé scénarios'!N7</f>
        <v>0.5</v>
      </c>
      <c r="F19" s="54">
        <f>'Résumé scénarios'!O7</f>
        <v>0.6</v>
      </c>
      <c r="G19" s="54">
        <f>'Résumé scénarios'!P7</f>
        <v>0.8</v>
      </c>
      <c r="H19" s="54">
        <f>'Résumé scénarios'!Q7</f>
        <v>0.9</v>
      </c>
    </row>
    <row r="20" spans="1:8" s="53" customFormat="1" ht="12.75">
      <c r="A20" s="53" t="s">
        <v>53</v>
      </c>
      <c r="B20" s="64">
        <f>'Résumé scénarios'!K14</f>
        <v>69.1666666666667</v>
      </c>
      <c r="C20" s="64">
        <f>'Résumé scénarios'!L14</f>
        <v>69.1666666666667</v>
      </c>
      <c r="D20" s="64">
        <f>'Résumé scénarios'!M14</f>
        <v>71.6666666666667</v>
      </c>
      <c r="E20" s="64">
        <f>'Résumé scénarios'!N14</f>
        <v>71.6666666666667</v>
      </c>
      <c r="F20" s="64">
        <f>'Résumé scénarios'!O14</f>
        <v>75</v>
      </c>
      <c r="G20" s="64">
        <f>'Résumé scénarios'!P14</f>
        <v>87.5</v>
      </c>
      <c r="H20" s="64">
        <f>'Résumé scénarios'!Q14</f>
        <v>87.5</v>
      </c>
    </row>
    <row r="21" spans="1:8" s="53" customFormat="1" ht="12.75">
      <c r="A21" s="53" t="s">
        <v>57</v>
      </c>
      <c r="B21" s="64">
        <f>'Résumé scénarios'!K15</f>
        <v>29.7297297297297</v>
      </c>
      <c r="C21" s="64">
        <f>'Résumé scénarios'!L15</f>
        <v>29.7297297297297</v>
      </c>
      <c r="D21" s="64">
        <f>'Résumé scénarios'!M15</f>
        <v>29.4117647058824</v>
      </c>
      <c r="E21" s="64">
        <f>'Résumé scénarios'!N15</f>
        <v>29.4117647058824</v>
      </c>
      <c r="F21" s="64">
        <f>'Résumé scénarios'!O15</f>
        <v>33.3333333333333</v>
      </c>
      <c r="G21" s="64">
        <f>'Résumé scénarios'!P15</f>
        <v>53.3333333333333</v>
      </c>
      <c r="H21" s="64">
        <f>'Résumé scénarios'!Q15</f>
        <v>53.3333333333333</v>
      </c>
    </row>
    <row r="22" spans="1:8" s="53" customFormat="1" ht="12.75">
      <c r="A22" s="53" t="s">
        <v>186</v>
      </c>
      <c r="B22" s="64">
        <f>'Résumé scénarios'!K16</f>
        <v>0.999986666666667</v>
      </c>
      <c r="C22" s="64">
        <f>'Résumé scénarios'!L16</f>
        <v>0.999986666666667</v>
      </c>
      <c r="D22" s="64">
        <f>'Résumé scénarios'!M16</f>
        <v>0.605675241589511</v>
      </c>
      <c r="E22" s="64">
        <f>'Résumé scénarios'!N16</f>
        <v>0.605594681126692</v>
      </c>
      <c r="F22" s="64">
        <f>'Résumé scénarios'!O16</f>
        <v>0.401443575865008</v>
      </c>
      <c r="G22" s="64">
        <f>'Résumé scénarios'!P16</f>
        <v>0.250926498191859</v>
      </c>
      <c r="H22" s="64">
        <f>'Résumé scénarios'!Q16</f>
        <v>0.250926498191859</v>
      </c>
    </row>
    <row r="23" spans="1:8" s="53" customFormat="1" ht="12.75">
      <c r="A23" s="53" t="s">
        <v>187</v>
      </c>
      <c r="B23" s="55">
        <f aca="true" t="shared" si="2" ref="B23:H23">B22*100</f>
        <v>99.99866666666671</v>
      </c>
      <c r="C23" s="55">
        <f t="shared" si="2"/>
        <v>99.99866666666671</v>
      </c>
      <c r="D23" s="55">
        <f t="shared" si="2"/>
        <v>60.5675241589511</v>
      </c>
      <c r="E23" s="55">
        <f t="shared" si="2"/>
        <v>60.5594681126692</v>
      </c>
      <c r="F23" s="55">
        <f t="shared" si="2"/>
        <v>40.1443575865008</v>
      </c>
      <c r="G23" s="55">
        <f t="shared" si="2"/>
        <v>25.0926498191859</v>
      </c>
      <c r="H23" s="55">
        <f t="shared" si="2"/>
        <v>25.0926498191859</v>
      </c>
    </row>
    <row r="24" spans="2:7" s="53" customFormat="1" ht="12.75">
      <c r="B24" s="55"/>
      <c r="C24" s="55"/>
      <c r="D24" s="55"/>
      <c r="E24" s="55"/>
      <c r="F24" s="55"/>
      <c r="G24" s="55"/>
    </row>
    <row r="25" spans="2:7" s="53" customFormat="1" ht="12.75">
      <c r="B25" s="55"/>
      <c r="C25" s="55"/>
      <c r="D25" s="55"/>
      <c r="E25" s="55"/>
      <c r="F25" s="55"/>
      <c r="G25" s="55"/>
    </row>
    <row r="26" spans="1:7" s="53" customFormat="1" ht="12.75">
      <c r="A26" s="53" t="s">
        <v>79</v>
      </c>
      <c r="B26" s="53">
        <v>1000000</v>
      </c>
      <c r="C26" s="53" t="s">
        <v>2</v>
      </c>
      <c r="D26" s="55"/>
      <c r="E26" s="55"/>
      <c r="F26" s="55"/>
      <c r="G26" s="55"/>
    </row>
    <row r="27" spans="1:7" s="53" customFormat="1" ht="12.75">
      <c r="A27" s="53" t="s">
        <v>69</v>
      </c>
      <c r="B27" s="53">
        <v>7.5</v>
      </c>
      <c r="C27" s="53" t="s">
        <v>82</v>
      </c>
      <c r="D27" s="55"/>
      <c r="E27" s="55"/>
      <c r="F27" s="55"/>
      <c r="G27" s="55"/>
    </row>
    <row r="28" spans="1:7" s="53" customFormat="1" ht="12.75">
      <c r="A28" s="53" t="s">
        <v>152</v>
      </c>
      <c r="B28" s="53">
        <f>area</f>
        <v>75000</v>
      </c>
      <c r="C28" s="53" t="s">
        <v>1</v>
      </c>
      <c r="D28" s="55"/>
      <c r="E28" s="55"/>
      <c r="F28" s="55"/>
      <c r="G28" s="55"/>
    </row>
    <row r="30" s="56" customFormat="1" ht="12.75">
      <c r="A30" s="57" t="s">
        <v>149</v>
      </c>
    </row>
    <row r="31" s="56" customFormat="1" ht="12.75"/>
    <row r="32" spans="1:7" s="56" customFormat="1" ht="12.75">
      <c r="A32" s="57" t="s">
        <v>146</v>
      </c>
      <c r="B32" s="57">
        <f>'Résumé scénarios'!E6</f>
        <v>2</v>
      </c>
      <c r="C32" s="57">
        <f>'Résumé scénarios'!F6</f>
        <v>5</v>
      </c>
      <c r="D32" s="57">
        <f>'Résumé scénarios'!G6</f>
        <v>7.5</v>
      </c>
      <c r="E32" s="57">
        <f>'Résumé scénarios'!H6</f>
        <v>10</v>
      </c>
      <c r="F32" s="57">
        <f>'Résumé scénarios'!I6</f>
        <v>10</v>
      </c>
      <c r="G32" s="57">
        <f>'Résumé scénarios'!J6</f>
        <v>15</v>
      </c>
    </row>
    <row r="33" spans="1:7" s="56" customFormat="1" ht="12.75">
      <c r="A33" s="58" t="s">
        <v>53</v>
      </c>
      <c r="B33" s="65">
        <f>'Résumé scénarios'!E14</f>
        <v>100</v>
      </c>
      <c r="C33" s="65">
        <f>'Résumé scénarios'!F14</f>
        <v>87.5</v>
      </c>
      <c r="D33" s="65">
        <f>'Résumé scénarios'!G14</f>
        <v>71.6666666666667</v>
      </c>
      <c r="E33" s="65">
        <f>'Résumé scénarios'!H14</f>
        <v>65.8333333333333</v>
      </c>
      <c r="F33" s="65">
        <f>'Résumé scénarios'!I14</f>
        <v>65.8333333333333</v>
      </c>
      <c r="G33" s="65">
        <f>'Résumé scénarios'!J14</f>
        <v>50.8333333333333</v>
      </c>
    </row>
    <row r="34" spans="1:7" s="56" customFormat="1" ht="12.75">
      <c r="A34" s="58" t="s">
        <v>57</v>
      </c>
      <c r="B34" s="65">
        <f>'Résumé scénarios'!E15</f>
        <v>100</v>
      </c>
      <c r="C34" s="65">
        <f>'Résumé scénarios'!F15</f>
        <v>53.3333333333333</v>
      </c>
      <c r="D34" s="65">
        <f>'Résumé scénarios'!G15</f>
        <v>29.4117647058824</v>
      </c>
      <c r="E34" s="65">
        <f>'Résumé scénarios'!H15</f>
        <v>34.1463414634146</v>
      </c>
      <c r="F34" s="65">
        <f>'Résumé scénarios'!I15</f>
        <v>34.1463414634146</v>
      </c>
      <c r="G34" s="65">
        <f>'Résumé scénarios'!J15</f>
        <v>27.1186440677966</v>
      </c>
    </row>
    <row r="35" spans="1:7" s="56" customFormat="1" ht="12.75">
      <c r="A35" s="58" t="s">
        <v>186</v>
      </c>
      <c r="B35" s="65">
        <f>'Résumé scénarios'!E16</f>
        <v>0</v>
      </c>
      <c r="C35" s="65">
        <f>'Résumé scénarios'!F16</f>
        <v>0.250926498191859</v>
      </c>
      <c r="D35" s="65">
        <f>'Résumé scénarios'!G16</f>
        <v>0.605594681126692</v>
      </c>
      <c r="E35" s="65">
        <f>'Résumé scénarios'!H16</f>
        <v>0.999986666666667</v>
      </c>
      <c r="F35" s="65">
        <f>'Résumé scénarios'!I16</f>
        <v>0.999986666666667</v>
      </c>
      <c r="G35" s="65">
        <f>'Résumé scénarios'!J16</f>
        <v>0.999999998728434</v>
      </c>
    </row>
    <row r="36" spans="1:7" s="56" customFormat="1" ht="12.75">
      <c r="A36" s="58" t="s">
        <v>187</v>
      </c>
      <c r="B36" s="59">
        <f aca="true" t="shared" si="3" ref="B36:G36">B35*100</f>
        <v>0</v>
      </c>
      <c r="C36" s="59">
        <f t="shared" si="3"/>
        <v>25.0926498191859</v>
      </c>
      <c r="D36" s="59">
        <f t="shared" si="3"/>
        <v>60.5594681126692</v>
      </c>
      <c r="E36" s="59">
        <f t="shared" si="3"/>
        <v>99.99866666666671</v>
      </c>
      <c r="F36" s="59">
        <f t="shared" si="3"/>
        <v>99.99866666666671</v>
      </c>
      <c r="G36" s="59">
        <f t="shared" si="3"/>
        <v>99.9999998728434</v>
      </c>
    </row>
    <row r="37" spans="1:7" s="56" customFormat="1" ht="12.75">
      <c r="A37" s="58"/>
      <c r="B37" s="59"/>
      <c r="C37" s="59"/>
      <c r="D37" s="59"/>
      <c r="E37" s="59"/>
      <c r="F37" s="59"/>
      <c r="G37" s="59"/>
    </row>
    <row r="38" s="56" customFormat="1" ht="12.75"/>
    <row r="39" spans="1:3" s="56" customFormat="1" ht="12.75">
      <c r="A39" s="56" t="s">
        <v>79</v>
      </c>
      <c r="B39" s="62">
        <v>1000000</v>
      </c>
      <c r="C39" s="56" t="s">
        <v>2</v>
      </c>
    </row>
    <row r="40" spans="1:3" s="56" customFormat="1" ht="12.75">
      <c r="A40" s="56" t="s">
        <v>150</v>
      </c>
      <c r="B40" s="56">
        <v>0.5</v>
      </c>
      <c r="C40" s="56" t="s">
        <v>84</v>
      </c>
    </row>
    <row r="41" spans="1:3" s="56" customFormat="1" ht="12.75">
      <c r="A41" s="56" t="s">
        <v>152</v>
      </c>
      <c r="B41" s="56">
        <f>area</f>
        <v>75000</v>
      </c>
      <c r="C41" s="56" t="s">
        <v>1</v>
      </c>
    </row>
  </sheetData>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O45"/>
  <sheetViews>
    <sheetView workbookViewId="0" topLeftCell="A1">
      <selection activeCell="F25" sqref="F25"/>
    </sheetView>
  </sheetViews>
  <sheetFormatPr defaultColWidth="9.140625" defaultRowHeight="12.75"/>
  <cols>
    <col min="1" max="1" width="24.7109375" style="0" customWidth="1"/>
    <col min="7" max="7" width="9.57421875" style="0" bestFit="1" customWidth="1"/>
  </cols>
  <sheetData>
    <row r="1" ht="15">
      <c r="A1" s="68" t="s">
        <v>190</v>
      </c>
    </row>
    <row r="3" s="31" customFormat="1" ht="12.75">
      <c r="A3" s="44" t="s">
        <v>147</v>
      </c>
    </row>
    <row r="4" s="31" customFormat="1" ht="12.75"/>
    <row r="5" spans="1:15" s="31" customFormat="1" ht="12.75">
      <c r="A5" s="44" t="s">
        <v>144</v>
      </c>
      <c r="B5" s="45">
        <f>'Résumé scénarios'!R8</f>
        <v>100000</v>
      </c>
      <c r="C5" s="45">
        <f>'Résumé scénarios'!S8</f>
        <v>200000</v>
      </c>
      <c r="D5" s="45">
        <f>'Résumé scénarios'!T8</f>
        <v>300000</v>
      </c>
      <c r="E5" s="45">
        <f>'Résumé scénarios'!U8</f>
        <v>500000</v>
      </c>
      <c r="F5" s="45">
        <f>'Résumé scénarios'!V8</f>
        <v>800000</v>
      </c>
      <c r="G5" s="45">
        <f>'Résumé scénarios'!W8</f>
        <v>1000000</v>
      </c>
      <c r="H5" s="45">
        <f>'Résumé scénarios'!X8</f>
        <v>1100000</v>
      </c>
      <c r="I5" s="45">
        <f>'Résumé scénarios'!Y8</f>
        <v>1500000</v>
      </c>
      <c r="J5" s="45">
        <f>'Résumé scénarios'!Z8</f>
        <v>2000000</v>
      </c>
      <c r="K5" s="45">
        <f>'Résumé scénarios'!AA8</f>
        <v>2500000</v>
      </c>
      <c r="L5" s="45">
        <f>'Résumé scénarios'!AB8</f>
        <v>3000000</v>
      </c>
      <c r="M5" s="45">
        <f>'Résumé scénarios'!AC8</f>
        <v>3500000</v>
      </c>
      <c r="N5" s="45">
        <f>'Résumé scénarios'!AD8</f>
        <v>4500000</v>
      </c>
      <c r="O5" s="45">
        <f>'Résumé scénarios'!AE8</f>
        <v>5000000</v>
      </c>
    </row>
    <row r="6" spans="1:15" s="31" customFormat="1" ht="12.75">
      <c r="A6" s="44" t="s">
        <v>145</v>
      </c>
      <c r="B6" s="46">
        <f>B5/1000/1000</f>
        <v>0.1</v>
      </c>
      <c r="C6" s="46">
        <f aca="true" t="shared" si="0" ref="C6:O6">C5/1000/1000</f>
        <v>0.2</v>
      </c>
      <c r="D6" s="46">
        <f t="shared" si="0"/>
        <v>0.3</v>
      </c>
      <c r="E6" s="46">
        <f t="shared" si="0"/>
        <v>0.5</v>
      </c>
      <c r="F6" s="46">
        <f t="shared" si="0"/>
        <v>0.8</v>
      </c>
      <c r="G6" s="46">
        <f t="shared" si="0"/>
        <v>1</v>
      </c>
      <c r="H6" s="46">
        <f t="shared" si="0"/>
        <v>1.1</v>
      </c>
      <c r="I6" s="46">
        <f t="shared" si="0"/>
        <v>1.5</v>
      </c>
      <c r="J6" s="46">
        <f t="shared" si="0"/>
        <v>2</v>
      </c>
      <c r="K6" s="46">
        <f t="shared" si="0"/>
        <v>2.5</v>
      </c>
      <c r="L6" s="46">
        <f t="shared" si="0"/>
        <v>3</v>
      </c>
      <c r="M6" s="46">
        <f t="shared" si="0"/>
        <v>3.5</v>
      </c>
      <c r="N6" s="46">
        <f t="shared" si="0"/>
        <v>4.5</v>
      </c>
      <c r="O6" s="46">
        <f t="shared" si="0"/>
        <v>5</v>
      </c>
    </row>
    <row r="7" spans="1:15" s="31" customFormat="1" ht="12.75">
      <c r="A7" s="31" t="s">
        <v>53</v>
      </c>
      <c r="B7" s="47">
        <f>'Résumé scénarios'!R11</f>
        <v>0</v>
      </c>
      <c r="C7" s="47">
        <f>'Résumé scénarios'!S11</f>
        <v>60.8333333333333</v>
      </c>
      <c r="D7" s="47">
        <f>'Résumé scénarios'!T11</f>
        <v>63.3333333333333</v>
      </c>
      <c r="E7" s="47">
        <f>'Résumé scénarios'!U11</f>
        <v>71.6666666666667</v>
      </c>
      <c r="F7" s="47">
        <f>'Résumé scénarios'!V11</f>
        <v>71.6666666666667</v>
      </c>
      <c r="G7" s="47">
        <f>'Résumé scénarios'!W11</f>
        <v>78.3333333333333</v>
      </c>
      <c r="H7" s="47">
        <f>'Résumé scénarios'!X11</f>
        <v>80.8333333333333</v>
      </c>
      <c r="I7" s="47">
        <f>'Résumé scénarios'!Y11</f>
        <v>90</v>
      </c>
      <c r="J7" s="47">
        <f>'Résumé scénarios'!Z11</f>
        <v>95.8333333333333</v>
      </c>
      <c r="K7" s="47">
        <f>'Résumé scénarios'!AA11</f>
        <v>98.3333333333333</v>
      </c>
      <c r="L7" s="47">
        <f>'Résumé scénarios'!AB11</f>
        <v>100</v>
      </c>
      <c r="M7" s="47">
        <f>'Résumé scénarios'!AC11</f>
        <v>100</v>
      </c>
      <c r="N7" s="47">
        <f>'Résumé scénarios'!AD11</f>
        <v>100</v>
      </c>
      <c r="O7" s="47">
        <f>'Résumé scénarios'!AE11</f>
        <v>100</v>
      </c>
    </row>
    <row r="8" spans="1:15" s="31" customFormat="1" ht="12.75">
      <c r="A8" s="31" t="s">
        <v>57</v>
      </c>
      <c r="B8" s="47">
        <f>'Résumé scénarios'!R12</f>
        <v>0</v>
      </c>
      <c r="C8" s="47">
        <f>'Résumé scénarios'!S12</f>
        <v>40.4255319148936</v>
      </c>
      <c r="D8" s="47">
        <f>'Résumé scénarios'!T12</f>
        <v>38.6363636363636</v>
      </c>
      <c r="E8" s="47">
        <f>'Résumé scénarios'!U12</f>
        <v>32.3529411764706</v>
      </c>
      <c r="F8" s="47">
        <f>'Résumé scénarios'!V12</f>
        <v>29.4117647058824</v>
      </c>
      <c r="G8" s="47">
        <f>'Résumé scénarios'!W12</f>
        <v>34.6153846153846</v>
      </c>
      <c r="H8" s="47">
        <f>'Résumé scénarios'!X12</f>
        <v>43.4782608695652</v>
      </c>
      <c r="I8" s="47">
        <f>'Résumé scénarios'!Y12</f>
        <v>58.3333333333333</v>
      </c>
      <c r="J8" s="47">
        <f>'Résumé scénarios'!Z12</f>
        <v>60</v>
      </c>
      <c r="K8" s="47">
        <f>'Résumé scénarios'!AA12</f>
        <v>100</v>
      </c>
      <c r="L8" s="47">
        <f>'Résumé scénarios'!AB12</f>
        <v>100</v>
      </c>
      <c r="M8" s="47">
        <f>'Résumé scénarios'!AC12</f>
        <v>100</v>
      </c>
      <c r="N8" s="47">
        <f>'Résumé scénarios'!AD12</f>
        <v>100</v>
      </c>
      <c r="O8" s="47">
        <f>'Résumé scénarios'!AE12</f>
        <v>100</v>
      </c>
    </row>
    <row r="9" spans="1:15" s="31" customFormat="1" ht="12.75">
      <c r="A9" s="31" t="s">
        <v>186</v>
      </c>
      <c r="B9" s="47">
        <f>'Résumé scénarios'!R13</f>
        <v>1</v>
      </c>
      <c r="C9" s="47">
        <f>'Résumé scénarios'!S13</f>
        <v>1</v>
      </c>
      <c r="D9" s="47">
        <f>'Résumé scénarios'!T13</f>
        <v>1</v>
      </c>
      <c r="E9" s="47">
        <f>'Résumé scénarios'!U13</f>
        <v>1</v>
      </c>
      <c r="F9" s="47">
        <f>'Résumé scénarios'!V13</f>
        <v>0.993307360038517</v>
      </c>
      <c r="G9" s="47">
        <f>'Résumé scénarios'!W13</f>
        <v>0.616438356164384</v>
      </c>
      <c r="H9" s="47">
        <f>'Résumé scénarios'!X13</f>
        <v>0.5</v>
      </c>
      <c r="I9" s="47">
        <f>'Résumé scénarios'!Y13</f>
        <v>0.5</v>
      </c>
      <c r="J9" s="47">
        <f>'Résumé scénarios'!Z13</f>
        <v>0.5</v>
      </c>
      <c r="K9" s="47">
        <f>'Résumé scénarios'!AA13</f>
        <v>0.5</v>
      </c>
      <c r="L9" s="47">
        <f>'Résumé scénarios'!AB13</f>
        <v>0</v>
      </c>
      <c r="M9" s="47">
        <f>'Résumé scénarios'!AC13</f>
        <v>0</v>
      </c>
      <c r="N9" s="47">
        <f>'Résumé scénarios'!AD13</f>
        <v>0</v>
      </c>
      <c r="O9" s="47">
        <f>'Résumé scénarios'!AE13</f>
        <v>0</v>
      </c>
    </row>
    <row r="10" spans="1:15" s="31" customFormat="1" ht="12.75">
      <c r="A10" s="31" t="s">
        <v>187</v>
      </c>
      <c r="B10" s="48">
        <f>B9*100</f>
        <v>100</v>
      </c>
      <c r="C10" s="48">
        <f aca="true" t="shared" si="1" ref="C10:O10">C9*100</f>
        <v>100</v>
      </c>
      <c r="D10" s="48">
        <f t="shared" si="1"/>
        <v>100</v>
      </c>
      <c r="E10" s="48">
        <f t="shared" si="1"/>
        <v>100</v>
      </c>
      <c r="F10" s="48">
        <f t="shared" si="1"/>
        <v>99.33073600385171</v>
      </c>
      <c r="G10" s="48">
        <f t="shared" si="1"/>
        <v>61.6438356164384</v>
      </c>
      <c r="H10" s="48">
        <f t="shared" si="1"/>
        <v>50</v>
      </c>
      <c r="I10" s="48">
        <f t="shared" si="1"/>
        <v>50</v>
      </c>
      <c r="J10" s="48">
        <f t="shared" si="1"/>
        <v>50</v>
      </c>
      <c r="K10" s="48">
        <f t="shared" si="1"/>
        <v>50</v>
      </c>
      <c r="L10" s="48">
        <f t="shared" si="1"/>
        <v>0</v>
      </c>
      <c r="M10" s="48">
        <f t="shared" si="1"/>
        <v>0</v>
      </c>
      <c r="N10" s="48">
        <f t="shared" si="1"/>
        <v>0</v>
      </c>
      <c r="O10" s="48">
        <f t="shared" si="1"/>
        <v>0</v>
      </c>
    </row>
    <row r="11" spans="1:7" s="31" customFormat="1" ht="12.75">
      <c r="A11" s="30"/>
      <c r="B11" s="49"/>
      <c r="C11" s="49"/>
      <c r="D11" s="49"/>
      <c r="E11" s="49"/>
      <c r="F11" s="49"/>
      <c r="G11" s="49"/>
    </row>
    <row r="12" spans="1:7" s="31" customFormat="1" ht="12.75">
      <c r="A12" s="30"/>
      <c r="B12" s="49"/>
      <c r="C12" s="49"/>
      <c r="D12" s="49"/>
      <c r="E12" s="49"/>
      <c r="F12" s="49"/>
      <c r="G12" s="49"/>
    </row>
    <row r="13" spans="1:7" s="31" customFormat="1" ht="12.75">
      <c r="A13" s="31" t="s">
        <v>83</v>
      </c>
      <c r="B13" s="31">
        <v>0.5</v>
      </c>
      <c r="C13" s="31" t="s">
        <v>84</v>
      </c>
      <c r="E13" s="49"/>
      <c r="F13" s="49"/>
      <c r="G13" s="49"/>
    </row>
    <row r="14" spans="1:7" s="31" customFormat="1" ht="12.75">
      <c r="A14" s="31" t="s">
        <v>69</v>
      </c>
      <c r="B14" s="31">
        <v>7.5</v>
      </c>
      <c r="C14" s="31" t="s">
        <v>82</v>
      </c>
      <c r="E14" s="49"/>
      <c r="F14" s="49"/>
      <c r="G14" s="49"/>
    </row>
    <row r="15" spans="1:7" s="31" customFormat="1" ht="12.75">
      <c r="A15" s="31" t="s">
        <v>80</v>
      </c>
      <c r="B15" s="31">
        <v>0.75</v>
      </c>
      <c r="E15" s="49"/>
      <c r="F15" s="49"/>
      <c r="G15" s="49"/>
    </row>
    <row r="16" spans="1:7" ht="12.75">
      <c r="A16" s="1"/>
      <c r="B16" s="4"/>
      <c r="C16" s="4"/>
      <c r="D16" s="4"/>
      <c r="E16" s="4"/>
      <c r="F16" s="4"/>
      <c r="G16" s="4"/>
    </row>
    <row r="17" s="53" customFormat="1" ht="12.75" customHeight="1">
      <c r="A17" s="54" t="s">
        <v>148</v>
      </c>
    </row>
    <row r="18" s="53" customFormat="1" ht="12.75"/>
    <row r="19" spans="1:8" s="53" customFormat="1" ht="12.75">
      <c r="A19" s="54" t="s">
        <v>81</v>
      </c>
      <c r="B19" s="54">
        <f>'Résumé scénarios'!K7</f>
        <v>0</v>
      </c>
      <c r="C19" s="54">
        <f>'Résumé scénarios'!L7</f>
        <v>0.2</v>
      </c>
      <c r="D19" s="54">
        <f>'Résumé scénarios'!M7</f>
        <v>0.4</v>
      </c>
      <c r="E19" s="54">
        <f>'Résumé scénarios'!N7</f>
        <v>0.5</v>
      </c>
      <c r="F19" s="54">
        <f>'Résumé scénarios'!O7</f>
        <v>0.6</v>
      </c>
      <c r="G19" s="54">
        <f>'Résumé scénarios'!P7</f>
        <v>0.8</v>
      </c>
      <c r="H19" s="54">
        <f>'Résumé scénarios'!Q7</f>
        <v>0.9</v>
      </c>
    </row>
    <row r="20" spans="1:8" s="53" customFormat="1" ht="12.75">
      <c r="A20" s="53" t="s">
        <v>3</v>
      </c>
      <c r="B20" s="55">
        <f>'Résumé scénarios'!K11</f>
        <v>95</v>
      </c>
      <c r="C20" s="55">
        <f>'Résumé scénarios'!L11</f>
        <v>94.1666666666667</v>
      </c>
      <c r="D20" s="55">
        <f>'Résumé scénarios'!M11</f>
        <v>82.5</v>
      </c>
      <c r="E20" s="55">
        <f>'Résumé scénarios'!N11</f>
        <v>78.3333333333333</v>
      </c>
      <c r="F20" s="55">
        <f>'Résumé scénarios'!O11</f>
        <v>70.8333333333333</v>
      </c>
      <c r="G20" s="55">
        <f>'Résumé scénarios'!P11</f>
        <v>56.6666666666667</v>
      </c>
      <c r="H20" s="55">
        <f>'Résumé scénarios'!Q11</f>
        <v>55</v>
      </c>
    </row>
    <row r="21" spans="1:8" s="53" customFormat="1" ht="12.75">
      <c r="A21" s="53" t="s">
        <v>4</v>
      </c>
      <c r="B21" s="55">
        <f>'Résumé scénarios'!K12</f>
        <v>83.3333333333333</v>
      </c>
      <c r="C21" s="55">
        <f>'Résumé scénarios'!L12</f>
        <v>85.7142857142857</v>
      </c>
      <c r="D21" s="55">
        <f>'Résumé scénarios'!M12</f>
        <v>47.6190476190476</v>
      </c>
      <c r="E21" s="55">
        <f>'Résumé scénarios'!N12</f>
        <v>34.6153846153846</v>
      </c>
      <c r="F21" s="55">
        <f>'Résumé scénarios'!O12</f>
        <v>28.5714285714286</v>
      </c>
      <c r="G21" s="55">
        <f>'Résumé scénarios'!P12</f>
        <v>32.6923076923077</v>
      </c>
      <c r="H21" s="55">
        <f>'Résumé scénarios'!Q12</f>
        <v>29.6296296296296</v>
      </c>
    </row>
    <row r="22" spans="1:8" s="53" customFormat="1" ht="12.75">
      <c r="A22" s="53" t="s">
        <v>186</v>
      </c>
      <c r="B22" s="63">
        <f>'Résumé scénarios'!K13</f>
        <v>1</v>
      </c>
      <c r="C22" s="63">
        <f>'Résumé scénarios'!L13</f>
        <v>1</v>
      </c>
      <c r="D22" s="63">
        <f>'Résumé scénarios'!M13</f>
        <v>0.616595031271394</v>
      </c>
      <c r="E22" s="63">
        <f>'Résumé scénarios'!N13</f>
        <v>0.616438356164384</v>
      </c>
      <c r="F22" s="63">
        <f>'Résumé scénarios'!O13</f>
        <v>0.5</v>
      </c>
      <c r="G22" s="63">
        <f>'Résumé scénarios'!P13</f>
        <v>0.5</v>
      </c>
      <c r="H22" s="63">
        <f>'Résumé scénarios'!Q13</f>
        <v>0.5</v>
      </c>
    </row>
    <row r="23" spans="1:8" s="53" customFormat="1" ht="12.75">
      <c r="A23" s="53" t="s">
        <v>187</v>
      </c>
      <c r="B23" s="55">
        <f aca="true" t="shared" si="2" ref="B23:H23">B22*100</f>
        <v>100</v>
      </c>
      <c r="C23" s="55">
        <f t="shared" si="2"/>
        <v>100</v>
      </c>
      <c r="D23" s="55">
        <f t="shared" si="2"/>
        <v>61.6595031271394</v>
      </c>
      <c r="E23" s="55">
        <f t="shared" si="2"/>
        <v>61.6438356164384</v>
      </c>
      <c r="F23" s="55">
        <f t="shared" si="2"/>
        <v>50</v>
      </c>
      <c r="G23" s="55">
        <f t="shared" si="2"/>
        <v>50</v>
      </c>
      <c r="H23" s="55">
        <f t="shared" si="2"/>
        <v>50</v>
      </c>
    </row>
    <row r="24" spans="2:7" s="53" customFormat="1" ht="12.75">
      <c r="B24" s="55"/>
      <c r="C24" s="55"/>
      <c r="D24" s="55"/>
      <c r="E24" s="55"/>
      <c r="F24" s="55"/>
      <c r="G24" s="55"/>
    </row>
    <row r="25" spans="1:8" s="53" customFormat="1" ht="12.75">
      <c r="A25" s="53" t="s">
        <v>143</v>
      </c>
      <c r="B25" s="55">
        <f>'Résumé scénarios'!D10</f>
        <v>88.236301369863</v>
      </c>
      <c r="C25" s="55">
        <f>'Résumé scénarios'!E10</f>
        <v>99.1666666666667</v>
      </c>
      <c r="D25" s="55">
        <f>'Résumé scénarios'!F10</f>
        <v>96.6666666666667</v>
      </c>
      <c r="E25" s="55">
        <f>'Résumé scénarios'!G10</f>
        <v>88.236301369863</v>
      </c>
      <c r="F25" s="55">
        <f>'Résumé scénarios'!H10</f>
        <v>81.7461021136686</v>
      </c>
      <c r="G25" s="55">
        <f>'Résumé scénarios'!I10</f>
        <v>81.7461021136686</v>
      </c>
      <c r="H25" s="55">
        <f>'Résumé scénarios'!J10</f>
        <v>68.6666053748502</v>
      </c>
    </row>
    <row r="26" spans="2:7" s="53" customFormat="1" ht="12.75">
      <c r="B26" s="55"/>
      <c r="C26" s="55"/>
      <c r="D26" s="55"/>
      <c r="E26" s="55"/>
      <c r="F26" s="55"/>
      <c r="G26" s="55"/>
    </row>
    <row r="27" spans="2:7" s="53" customFormat="1" ht="12.75">
      <c r="B27" s="55"/>
      <c r="C27" s="55"/>
      <c r="D27" s="55"/>
      <c r="E27" s="55"/>
      <c r="F27" s="55"/>
      <c r="G27" s="55"/>
    </row>
    <row r="28" spans="1:7" s="53" customFormat="1" ht="12.75">
      <c r="A28" s="53" t="s">
        <v>79</v>
      </c>
      <c r="B28" s="53">
        <v>1000000</v>
      </c>
      <c r="C28" s="53" t="s">
        <v>2</v>
      </c>
      <c r="D28" s="55"/>
      <c r="E28" s="55"/>
      <c r="F28" s="55"/>
      <c r="G28" s="55"/>
    </row>
    <row r="29" spans="1:7" s="53" customFormat="1" ht="12.75">
      <c r="A29" s="53" t="s">
        <v>69</v>
      </c>
      <c r="B29" s="53">
        <v>7.5</v>
      </c>
      <c r="C29" s="53" t="s">
        <v>82</v>
      </c>
      <c r="D29" s="55"/>
      <c r="E29" s="55"/>
      <c r="F29" s="55"/>
      <c r="G29" s="55"/>
    </row>
    <row r="30" spans="1:7" s="53" customFormat="1" ht="12.75">
      <c r="A30" s="53" t="s">
        <v>80</v>
      </c>
      <c r="B30" s="53">
        <v>0.75</v>
      </c>
      <c r="D30" s="55"/>
      <c r="E30" s="55"/>
      <c r="F30" s="55"/>
      <c r="G30" s="55"/>
    </row>
    <row r="32" s="56" customFormat="1" ht="12.75">
      <c r="A32" s="57" t="s">
        <v>149</v>
      </c>
    </row>
    <row r="33" s="56" customFormat="1" ht="12.75"/>
    <row r="34" spans="1:7" s="56" customFormat="1" ht="12.75">
      <c r="A34" s="57" t="s">
        <v>146</v>
      </c>
      <c r="B34" s="57">
        <f>'Résumé scénarios'!E6</f>
        <v>2</v>
      </c>
      <c r="C34" s="57">
        <f>'Résumé scénarios'!F6</f>
        <v>5</v>
      </c>
      <c r="D34" s="57">
        <f>'Résumé scénarios'!G6</f>
        <v>7.5</v>
      </c>
      <c r="E34" s="57">
        <f>'Résumé scénarios'!H6</f>
        <v>10</v>
      </c>
      <c r="F34" s="57">
        <f>'Résumé scénarios'!I6</f>
        <v>10</v>
      </c>
      <c r="G34" s="57">
        <f>'Résumé scénarios'!J6</f>
        <v>15</v>
      </c>
    </row>
    <row r="35" spans="1:7" s="56" customFormat="1" ht="12.75">
      <c r="A35" s="58" t="s">
        <v>3</v>
      </c>
      <c r="B35" s="59">
        <f>'Résumé scénarios'!E11</f>
        <v>100</v>
      </c>
      <c r="C35" s="59">
        <f>'Résumé scénarios'!F11</f>
        <v>95</v>
      </c>
      <c r="D35" s="59">
        <f>'Résumé scénarios'!G11</f>
        <v>78.3333333333333</v>
      </c>
      <c r="E35" s="59">
        <f>'Résumé scénarios'!H11</f>
        <v>67.5</v>
      </c>
      <c r="F35" s="59">
        <f>'Résumé scénarios'!I11</f>
        <v>67.5</v>
      </c>
      <c r="G35" s="59">
        <f>'Résumé scénarios'!J11</f>
        <v>57.5</v>
      </c>
    </row>
    <row r="36" spans="1:7" s="56" customFormat="1" ht="12.75">
      <c r="A36" s="58" t="s">
        <v>4</v>
      </c>
      <c r="B36" s="59">
        <f>'Résumé scénarios'!E12</f>
        <v>100</v>
      </c>
      <c r="C36" s="59">
        <f>'Résumé scénarios'!F12</f>
        <v>50</v>
      </c>
      <c r="D36" s="59">
        <f>'Résumé scénarios'!G12</f>
        <v>34.6153846153846</v>
      </c>
      <c r="E36" s="59">
        <f>'Résumé scénarios'!H12</f>
        <v>33.3333333333333</v>
      </c>
      <c r="F36" s="59">
        <f>'Résumé scénarios'!I12</f>
        <v>33.3333333333333</v>
      </c>
      <c r="G36" s="59">
        <f>'Résumé scénarios'!J12</f>
        <v>29.4117647058824</v>
      </c>
    </row>
    <row r="37" spans="1:7" s="56" customFormat="1" ht="12.75">
      <c r="A37" s="58" t="s">
        <v>186</v>
      </c>
      <c r="B37" s="59">
        <f>'Résumé scénarios'!E13</f>
        <v>0</v>
      </c>
      <c r="C37" s="59">
        <f>'Résumé scénarios'!F13</f>
        <v>0.5</v>
      </c>
      <c r="D37" s="59">
        <f>'Résumé scénarios'!G13</f>
        <v>0.616438356164384</v>
      </c>
      <c r="E37" s="59">
        <f>'Résumé scénarios'!H13</f>
        <v>1</v>
      </c>
      <c r="F37" s="59">
        <f>'Résumé scénarios'!I13</f>
        <v>1</v>
      </c>
      <c r="G37" s="59">
        <f>'Résumé scénarios'!J13</f>
        <v>1</v>
      </c>
    </row>
    <row r="38" spans="1:7" s="56" customFormat="1" ht="12.75">
      <c r="A38" s="58" t="s">
        <v>187</v>
      </c>
      <c r="B38" s="59">
        <f aca="true" t="shared" si="3" ref="B38:G38">B37*100</f>
        <v>0</v>
      </c>
      <c r="C38" s="59">
        <f t="shared" si="3"/>
        <v>50</v>
      </c>
      <c r="D38" s="59">
        <f t="shared" si="3"/>
        <v>61.6438356164384</v>
      </c>
      <c r="E38" s="59">
        <f t="shared" si="3"/>
        <v>100</v>
      </c>
      <c r="F38" s="59">
        <f t="shared" si="3"/>
        <v>100</v>
      </c>
      <c r="G38" s="59">
        <f t="shared" si="3"/>
        <v>100</v>
      </c>
    </row>
    <row r="39" spans="1:6" s="56" customFormat="1" ht="12.75">
      <c r="A39" s="58"/>
      <c r="B39" s="59"/>
      <c r="C39" s="60"/>
      <c r="D39" s="60"/>
      <c r="E39" s="61"/>
      <c r="F39" s="61"/>
    </row>
    <row r="40" spans="1:7" s="56" customFormat="1" ht="12.75">
      <c r="A40" s="58" t="s">
        <v>143</v>
      </c>
      <c r="B40" s="59">
        <f>'Résumé scénarios'!E10</f>
        <v>99.1666666666667</v>
      </c>
      <c r="C40" s="59">
        <f>'Résumé scénarios'!F10</f>
        <v>96.6666666666667</v>
      </c>
      <c r="D40" s="59">
        <f>'Résumé scénarios'!G10</f>
        <v>88.236301369863</v>
      </c>
      <c r="E40" s="59">
        <f>'Résumé scénarios'!H10</f>
        <v>81.7461021136686</v>
      </c>
      <c r="F40" s="59">
        <f>'Résumé scénarios'!I10</f>
        <v>81.7461021136686</v>
      </c>
      <c r="G40" s="59">
        <f>'Résumé scénarios'!J10</f>
        <v>68.6666053748502</v>
      </c>
    </row>
    <row r="41" spans="1:7" s="56" customFormat="1" ht="12.75">
      <c r="A41" s="58"/>
      <c r="B41" s="59"/>
      <c r="C41" s="59"/>
      <c r="D41" s="59"/>
      <c r="E41" s="59"/>
      <c r="F41" s="59"/>
      <c r="G41" s="59"/>
    </row>
    <row r="42" s="56" customFormat="1" ht="12.75"/>
    <row r="43" spans="1:3" s="56" customFormat="1" ht="12.75">
      <c r="A43" s="56" t="s">
        <v>79</v>
      </c>
      <c r="B43" s="62">
        <v>1000000</v>
      </c>
      <c r="C43" s="56" t="s">
        <v>2</v>
      </c>
    </row>
    <row r="44" spans="1:3" s="56" customFormat="1" ht="12.75">
      <c r="A44" s="56" t="s">
        <v>150</v>
      </c>
      <c r="B44" s="56">
        <v>0.5</v>
      </c>
      <c r="C44" s="56" t="s">
        <v>84</v>
      </c>
    </row>
    <row r="45" spans="1:2" s="56" customFormat="1" ht="12.75">
      <c r="A45" s="56" t="s">
        <v>151</v>
      </c>
      <c r="B45" s="56">
        <v>0.75</v>
      </c>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chris</dc:creator>
  <cp:keywords/>
  <dc:description/>
  <cp:lastModifiedBy>Cécile</cp:lastModifiedBy>
  <cp:lastPrinted>2003-05-07T08:12:18Z</cp:lastPrinted>
  <dcterms:created xsi:type="dcterms:W3CDTF">2000-09-17T21:16:57Z</dcterms:created>
  <dcterms:modified xsi:type="dcterms:W3CDTF">2008-04-30T14:53:39Z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-338796065</vt:i4>
  </property>
  <property fmtid="{D5CDD505-2E9C-101B-9397-08002B2CF9AE}" pid="3" name="_EmailSubject">
    <vt:lpwstr>lecture on Measuring Sustainability</vt:lpwstr>
  </property>
  <property fmtid="{D5CDD505-2E9C-101B-9397-08002B2CF9AE}" pid="4" name="_AuthorEmail">
    <vt:lpwstr>ncgk@bond.campus.ncl.ac.uk</vt:lpwstr>
  </property>
  <property fmtid="{D5CDD505-2E9C-101B-9397-08002B2CF9AE}" pid="5" name="_AuthorEmailDisplayName">
    <vt:lpwstr>C G Kilsby</vt:lpwstr>
  </property>
</Properties>
</file>