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nformation" sheetId="1" r:id="rId1"/>
    <sheet name="Données" sheetId="2" r:id="rId2"/>
    <sheet name="Inflitration" sheetId="3" r:id="rId3"/>
    <sheet name="Graph" sheetId="4" r:id="rId4"/>
    <sheet name="Pour graphique" sheetId="5" r:id="rId5"/>
  </sheets>
  <definedNames/>
  <calcPr fullCalcOnLoad="1"/>
</workbook>
</file>

<file path=xl/sharedStrings.xml><?xml version="1.0" encoding="utf-8"?>
<sst xmlns="http://schemas.openxmlformats.org/spreadsheetml/2006/main" count="96" uniqueCount="58">
  <si>
    <t>Temps</t>
  </si>
  <si>
    <t>Pluie</t>
  </si>
  <si>
    <t>Intensité</t>
  </si>
  <si>
    <t>Constantes</t>
  </si>
  <si>
    <t>K =</t>
  </si>
  <si>
    <t>y =</t>
  </si>
  <si>
    <t>Dq =</t>
  </si>
  <si>
    <t>yDq =</t>
  </si>
  <si>
    <t>infinie</t>
  </si>
  <si>
    <r>
      <t>Ft+</t>
    </r>
    <r>
      <rPr>
        <sz val="10"/>
        <rFont val="Symbol"/>
        <family val="1"/>
      </rPr>
      <t>D</t>
    </r>
    <r>
      <rPr>
        <sz val="10"/>
        <rFont val="Arial"/>
        <family val="0"/>
      </rPr>
      <t>t "a priori"</t>
    </r>
  </si>
  <si>
    <r>
      <t>Ft+</t>
    </r>
    <r>
      <rPr>
        <sz val="10"/>
        <rFont val="Symbol"/>
        <family val="1"/>
      </rPr>
      <t>D</t>
    </r>
    <r>
      <rPr>
        <sz val="10"/>
        <rFont val="Arial"/>
        <family val="0"/>
      </rPr>
      <t>t "final"</t>
    </r>
  </si>
  <si>
    <r>
      <t>Ft+</t>
    </r>
    <r>
      <rPr>
        <sz val="10"/>
        <rFont val="Symbol"/>
        <family val="1"/>
      </rPr>
      <t>D</t>
    </r>
    <r>
      <rPr>
        <sz val="10"/>
        <rFont val="Arial"/>
        <family val="0"/>
      </rPr>
      <t>t "a postiori"</t>
    </r>
  </si>
  <si>
    <t>Information</t>
  </si>
  <si>
    <t>feuille</t>
  </si>
  <si>
    <t>cellule contenant une formule</t>
  </si>
  <si>
    <t>cellule dont le contenu doit être spécifié par l'utilisateur</t>
  </si>
  <si>
    <t>Infiltration</t>
  </si>
  <si>
    <t>Calcul de l'infiltration par la methode de Green et Ampt</t>
  </si>
  <si>
    <t>Calcul de la pluie nette</t>
  </si>
  <si>
    <t>Calul de l'infiltration à l'aide de la méthode de Green et Ampt</t>
  </si>
  <si>
    <t>[mm/h]</t>
  </si>
  <si>
    <t>[mm]</t>
  </si>
  <si>
    <t>[h]</t>
  </si>
  <si>
    <t>[min]</t>
  </si>
  <si>
    <r>
      <t>K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sz val="10"/>
        <rFont val="NewCenturySchlbk"/>
        <family val="1"/>
      </rPr>
      <t xml:space="preserve"> =</t>
    </r>
  </si>
  <si>
    <r>
      <t>D</t>
    </r>
    <r>
      <rPr>
        <sz val="10"/>
        <rFont val="Arial"/>
        <family val="2"/>
      </rPr>
      <t>t</t>
    </r>
    <r>
      <rPr>
        <sz val="10"/>
        <rFont val="NewCenturySchlbk"/>
        <family val="1"/>
      </rPr>
      <t xml:space="preserve"> =</t>
    </r>
  </si>
  <si>
    <r>
      <t>q</t>
    </r>
    <r>
      <rPr>
        <sz val="10"/>
        <rFont val="Arial"/>
        <family val="2"/>
      </rPr>
      <t>s</t>
    </r>
    <r>
      <rPr>
        <sz val="10"/>
        <rFont val="Symbol"/>
        <family val="1"/>
      </rPr>
      <t xml:space="preserve"> =</t>
    </r>
  </si>
  <si>
    <r>
      <t>q</t>
    </r>
    <r>
      <rPr>
        <sz val="10"/>
        <rFont val="Arial"/>
        <family val="2"/>
      </rPr>
      <t>i</t>
    </r>
    <r>
      <rPr>
        <sz val="10"/>
        <rFont val="Symbol"/>
        <family val="1"/>
      </rPr>
      <t xml:space="preserve"> =</t>
    </r>
  </si>
  <si>
    <t>[%]</t>
  </si>
  <si>
    <t>Données Pluie</t>
  </si>
  <si>
    <t>Données Infiltration</t>
  </si>
  <si>
    <t>Intensité f "a postiori"</t>
  </si>
  <si>
    <t>Itération succesives ...</t>
  </si>
  <si>
    <t>1ere itérations</t>
  </si>
  <si>
    <t xml:space="preserve">Infiltration </t>
  </si>
  <si>
    <t>1ere etape</t>
  </si>
  <si>
    <t>2eme etape</t>
  </si>
  <si>
    <t>FINAL</t>
  </si>
  <si>
    <t>Pluie Brute =</t>
  </si>
  <si>
    <t>Infiltration cumulée=</t>
  </si>
  <si>
    <t>Pluie nette =</t>
  </si>
  <si>
    <t>Cr=</t>
  </si>
  <si>
    <t xml:space="preserve">Intensité f </t>
  </si>
  <si>
    <t xml:space="preserve">Intensité </t>
  </si>
  <si>
    <r>
      <t xml:space="preserve">Comparaison </t>
    </r>
    <r>
      <rPr>
        <b/>
        <i/>
        <sz val="10"/>
        <rFont val="Arial"/>
        <family val="2"/>
      </rPr>
      <t>f et i</t>
    </r>
  </si>
  <si>
    <t>Infiltation cumulée</t>
  </si>
  <si>
    <t>Intensité moyenne de la pluie</t>
  </si>
  <si>
    <t>Infiltration cumulée F</t>
  </si>
  <si>
    <t>Pour graphique</t>
  </si>
  <si>
    <t>Données</t>
  </si>
  <si>
    <t xml:space="preserve">Temps </t>
  </si>
  <si>
    <t xml:space="preserve">Pluie </t>
  </si>
  <si>
    <t xml:space="preserve">Cumul </t>
  </si>
  <si>
    <t>(min)</t>
  </si>
  <si>
    <t>(mm)</t>
  </si>
  <si>
    <t>Intensité pluviométrique et pluie cumulée</t>
  </si>
  <si>
    <t>Graph</t>
  </si>
  <si>
    <t>Arrangement des données pour la représentation graphique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</si>
</sst>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0"/>
    <numFmt numFmtId="174" formatCode="0.000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"/>
    <numFmt numFmtId="187" formatCode="d/mm/yy\ hh:mm"/>
    <numFmt numFmtId="188" formatCode="0.000000"/>
    <numFmt numFmtId="189" formatCode="0.0000000"/>
    <numFmt numFmtId="190" formatCode="d/mm\ hh:mm"/>
    <numFmt numFmtId="191" formatCode="d\ hh:mm"/>
    <numFmt numFmtId="192" formatCode="0.00000000"/>
    <numFmt numFmtId="193" formatCode="0.000000000"/>
    <numFmt numFmtId="194" formatCode="0.0000000000"/>
    <numFmt numFmtId="195" formatCode="0.00000000000"/>
    <numFmt numFmtId="196" formatCode="d/mm"/>
    <numFmt numFmtId="197" formatCode="0.000E+00"/>
    <numFmt numFmtId="198" formatCode="0.0E+00"/>
    <numFmt numFmtId="199" formatCode="0E+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%"/>
  </numFmts>
  <fonts count="22">
    <font>
      <sz val="10"/>
      <name val="Arial"/>
      <family val="0"/>
    </font>
    <font>
      <sz val="10"/>
      <name val="NewCenturySchlbk"/>
      <family val="1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0"/>
      <name val="NewCenturySchlbk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13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0"/>
    </font>
    <font>
      <b/>
      <sz val="14"/>
      <color indexed="10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3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172" fontId="0" fillId="0" borderId="0" xfId="0" applyNumberFormat="1" applyFont="1" applyBorder="1" applyAlignment="1">
      <alignment horizontal="center"/>
    </xf>
    <xf numFmtId="172" fontId="0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172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2" fontId="0" fillId="2" borderId="6" xfId="0" applyNumberForma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2" fontId="3" fillId="2" borderId="4" xfId="0" applyNumberFormat="1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2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9" fontId="0" fillId="2" borderId="0" xfId="21" applyFill="1" applyAlignment="1">
      <alignment horizontal="center"/>
    </xf>
    <xf numFmtId="0" fontId="0" fillId="0" borderId="0" xfId="0" applyFill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6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9" fontId="0" fillId="0" borderId="0" xfId="21" applyFill="1" applyAlignment="1">
      <alignment horizontal="center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8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0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1825"/>
          <c:w val="0.89025"/>
          <c:h val="0.81325"/>
        </c:manualLayout>
      </c:layout>
      <c:scatterChart>
        <c:scatterStyle val="line"/>
        <c:varyColors val="0"/>
        <c:ser>
          <c:idx val="0"/>
          <c:order val="0"/>
          <c:tx>
            <c:strRef>
              <c:f>'Pour graphique'!$E$25</c:f>
              <c:strCache>
                <c:ptCount val="1"/>
                <c:pt idx="0">
                  <c:v>Intensité moyenne de la pluie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'Pour graphique'!$D$27:$D$50</c:f>
              <c:numCache>
                <c:ptCount val="2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20</c:v>
                </c:pt>
                <c:pt idx="5">
                  <c:v>30</c:v>
                </c:pt>
                <c:pt idx="6">
                  <c:v>30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50</c:v>
                </c:pt>
                <c:pt idx="11">
                  <c:v>60</c:v>
                </c:pt>
                <c:pt idx="12">
                  <c:v>60</c:v>
                </c:pt>
                <c:pt idx="13">
                  <c:v>70</c:v>
                </c:pt>
                <c:pt idx="14">
                  <c:v>70</c:v>
                </c:pt>
                <c:pt idx="15">
                  <c:v>80</c:v>
                </c:pt>
                <c:pt idx="16">
                  <c:v>80</c:v>
                </c:pt>
                <c:pt idx="17">
                  <c:v>90</c:v>
                </c:pt>
                <c:pt idx="18">
                  <c:v>90</c:v>
                </c:pt>
                <c:pt idx="19">
                  <c:v>100</c:v>
                </c:pt>
                <c:pt idx="20">
                  <c:v>100</c:v>
                </c:pt>
                <c:pt idx="21">
                  <c:v>110</c:v>
                </c:pt>
                <c:pt idx="22">
                  <c:v>110</c:v>
                </c:pt>
                <c:pt idx="23">
                  <c:v>120</c:v>
                </c:pt>
              </c:numCache>
            </c:numRef>
          </c:xVal>
          <c:yVal>
            <c:numRef>
              <c:f>'Pour graphique'!$E$27:$E$50</c:f>
              <c:numCache>
                <c:ptCount val="24"/>
                <c:pt idx="0">
                  <c:v>3</c:v>
                </c:pt>
                <c:pt idx="1">
                  <c:v>3</c:v>
                </c:pt>
                <c:pt idx="2">
                  <c:v>9.6</c:v>
                </c:pt>
                <c:pt idx="3">
                  <c:v>9.6</c:v>
                </c:pt>
                <c:pt idx="4">
                  <c:v>13.8</c:v>
                </c:pt>
                <c:pt idx="5">
                  <c:v>13.8</c:v>
                </c:pt>
                <c:pt idx="6">
                  <c:v>17.4</c:v>
                </c:pt>
                <c:pt idx="7">
                  <c:v>17.4</c:v>
                </c:pt>
                <c:pt idx="8">
                  <c:v>25.2</c:v>
                </c:pt>
                <c:pt idx="9">
                  <c:v>25.2</c:v>
                </c:pt>
                <c:pt idx="10">
                  <c:v>29.4</c:v>
                </c:pt>
                <c:pt idx="11">
                  <c:v>29.4</c:v>
                </c:pt>
                <c:pt idx="12">
                  <c:v>42.6</c:v>
                </c:pt>
                <c:pt idx="13">
                  <c:v>42.6</c:v>
                </c:pt>
                <c:pt idx="14">
                  <c:v>33.6</c:v>
                </c:pt>
                <c:pt idx="15">
                  <c:v>33.6</c:v>
                </c:pt>
                <c:pt idx="16">
                  <c:v>24</c:v>
                </c:pt>
                <c:pt idx="17">
                  <c:v>24</c:v>
                </c:pt>
                <c:pt idx="18">
                  <c:v>12.6</c:v>
                </c:pt>
                <c:pt idx="19">
                  <c:v>12.6</c:v>
                </c:pt>
                <c:pt idx="20">
                  <c:v>9.6</c:v>
                </c:pt>
                <c:pt idx="21">
                  <c:v>9.6</c:v>
                </c:pt>
                <c:pt idx="22">
                  <c:v>3.6</c:v>
                </c:pt>
                <c:pt idx="23">
                  <c:v>3.6</c:v>
                </c:pt>
              </c:numCache>
            </c:numRef>
          </c:yVal>
          <c:smooth val="0"/>
        </c:ser>
        <c:axId val="7050123"/>
        <c:axId val="63451108"/>
      </c:scatterChart>
      <c:scatterChart>
        <c:scatterStyle val="lineMarker"/>
        <c:varyColors val="0"/>
        <c:ser>
          <c:idx val="2"/>
          <c:order val="1"/>
          <c:tx>
            <c:v>Taux d'infiltration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'Pour graphique'!$D$11:$D$22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</c:numCache>
            </c:numRef>
          </c:xVal>
          <c:yVal>
            <c:numRef>
              <c:f>'Pour graphique'!$J$11:$J$22</c:f>
              <c:numCache>
                <c:ptCount val="12"/>
                <c:pt idx="0">
                  <c:v>303.68</c:v>
                </c:pt>
                <c:pt idx="1">
                  <c:v>78.4</c:v>
                </c:pt>
                <c:pt idx="2">
                  <c:v>41.6</c:v>
                </c:pt>
                <c:pt idx="3">
                  <c:v>28.252054794520546</c:v>
                </c:pt>
                <c:pt idx="4">
                  <c:v>21.0866900202655</c:v>
                </c:pt>
                <c:pt idx="5">
                  <c:v>18.166648426408006</c:v>
                </c:pt>
                <c:pt idx="6">
                  <c:v>16.487363511592857</c:v>
                </c:pt>
                <c:pt idx="7">
                  <c:v>15.366999148555532</c:v>
                </c:pt>
                <c:pt idx="8">
                  <c:v>14.553767898870722</c:v>
                </c:pt>
                <c:pt idx="9">
                  <c:v>13.93030464063621</c:v>
                </c:pt>
                <c:pt idx="10">
                  <c:v>13.630280709889476</c:v>
                </c:pt>
                <c:pt idx="11">
                  <c:v>13.504501931312296</c:v>
                </c:pt>
              </c:numCache>
            </c:numRef>
          </c:yVal>
          <c:smooth val="1"/>
        </c:ser>
        <c:axId val="34189061"/>
        <c:axId val="39266094"/>
      </c:scatterChart>
      <c:valAx>
        <c:axId val="7050123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1108"/>
        <c:crosses val="autoZero"/>
        <c:crossBetween val="midCat"/>
        <c:dispUnits/>
      </c:valAx>
      <c:valAx>
        <c:axId val="63451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de la pluie [mm/h]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0123"/>
        <c:crosses val="autoZero"/>
        <c:crossBetween val="midCat"/>
        <c:dispUnits/>
      </c:valAx>
      <c:valAx>
        <c:axId val="34189061"/>
        <c:scaling>
          <c:orientation val="minMax"/>
        </c:scaling>
        <c:axPos val="b"/>
        <c:delete val="1"/>
        <c:majorTickMark val="out"/>
        <c:minorTickMark val="none"/>
        <c:tickLblPos val="nextTo"/>
        <c:crossAx val="39266094"/>
        <c:crosses val="max"/>
        <c:crossBetween val="midCat"/>
        <c:dispUnits/>
      </c:valAx>
      <c:valAx>
        <c:axId val="3926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d'infiltration [mm/h]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4189061"/>
        <c:crosses val="max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9175"/>
          <c:y val="0.8785"/>
          <c:w val="0.811"/>
          <c:h val="0.09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M31"/>
  <sheetViews>
    <sheetView tabSelected="1" zoomScale="75" zoomScaleNormal="75" workbookViewId="0" topLeftCell="A4">
      <selection activeCell="J39" sqref="J39"/>
    </sheetView>
  </sheetViews>
  <sheetFormatPr defaultColWidth="9.140625" defaultRowHeight="12.75"/>
  <sheetData>
    <row r="5" ht="20.25">
      <c r="B5" s="10" t="s">
        <v>12</v>
      </c>
    </row>
    <row r="10" ht="12.75">
      <c r="C10" s="11" t="s">
        <v>13</v>
      </c>
    </row>
    <row r="14" spans="3:9" ht="12.75">
      <c r="C14" s="12"/>
      <c r="H14" s="12"/>
      <c r="I14" s="12"/>
    </row>
    <row r="15" spans="3:9" ht="18">
      <c r="C15" s="12" t="s">
        <v>49</v>
      </c>
      <c r="H15" s="75" t="s">
        <v>55</v>
      </c>
      <c r="I15" s="12"/>
    </row>
    <row r="16" spans="8:9" ht="12.75">
      <c r="H16" s="12"/>
      <c r="I16" s="12"/>
    </row>
    <row r="18" spans="3:8" ht="12.75">
      <c r="C18" s="12" t="s">
        <v>16</v>
      </c>
      <c r="H18" s="12" t="s">
        <v>17</v>
      </c>
    </row>
    <row r="22" spans="3:8" ht="12.75">
      <c r="C22" s="12" t="s">
        <v>56</v>
      </c>
      <c r="H22" s="12" t="s">
        <v>18</v>
      </c>
    </row>
    <row r="24" spans="3:8" ht="12.75">
      <c r="C24" s="12"/>
      <c r="D24" s="12"/>
      <c r="E24" s="12"/>
      <c r="F24" s="12"/>
      <c r="G24" s="12"/>
      <c r="H24" s="12"/>
    </row>
    <row r="25" spans="3:8" ht="12.75">
      <c r="C25" s="12" t="s">
        <v>48</v>
      </c>
      <c r="D25" s="12"/>
      <c r="E25" s="12"/>
      <c r="F25" s="12"/>
      <c r="G25" s="12"/>
      <c r="H25" s="12" t="s">
        <v>57</v>
      </c>
    </row>
    <row r="29" spans="3:11" ht="12.75">
      <c r="C29" s="13"/>
      <c r="D29" s="12"/>
      <c r="H29" s="14" t="s">
        <v>14</v>
      </c>
      <c r="I29" s="13"/>
      <c r="J29" s="13"/>
      <c r="K29" s="13"/>
    </row>
    <row r="31" spans="3:13" ht="12.75">
      <c r="C31" s="15"/>
      <c r="H31" s="16" t="s">
        <v>15</v>
      </c>
      <c r="I31" s="15"/>
      <c r="J31" s="15"/>
      <c r="K31" s="15"/>
      <c r="L31" s="15"/>
      <c r="M31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S40"/>
  <sheetViews>
    <sheetView zoomScale="75" zoomScaleNormal="75" workbookViewId="0" topLeftCell="B1">
      <selection activeCell="C3" sqref="C3"/>
    </sheetView>
  </sheetViews>
  <sheetFormatPr defaultColWidth="9.140625" defaultRowHeight="12.75"/>
  <cols>
    <col min="4" max="6" width="8.7109375" style="0" customWidth="1"/>
    <col min="8" max="8" width="11.140625" style="0" customWidth="1"/>
    <col min="9" max="9" width="10.00390625" style="0" customWidth="1"/>
    <col min="10" max="10" width="12.7109375" style="0" customWidth="1"/>
    <col min="11" max="11" width="12.140625" style="0" customWidth="1"/>
    <col min="12" max="12" width="11.421875" style="0" customWidth="1"/>
    <col min="13" max="15" width="13.57421875" style="0" customWidth="1"/>
    <col min="17" max="17" width="13.00390625" style="0" customWidth="1"/>
  </cols>
  <sheetData>
    <row r="1" spans="8:19" ht="12.75"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8:19" ht="12.75">
      <c r="H2" s="98"/>
      <c r="I2" s="98"/>
      <c r="J2" s="98"/>
      <c r="K2" s="98"/>
      <c r="L2" s="98"/>
      <c r="M2" s="91"/>
      <c r="N2" s="98"/>
      <c r="O2" s="98"/>
      <c r="P2" s="98"/>
      <c r="Q2" s="98"/>
      <c r="R2" s="98"/>
      <c r="S2" s="98"/>
    </row>
    <row r="3" spans="3:19" ht="18">
      <c r="C3" s="75" t="s">
        <v>55</v>
      </c>
      <c r="H3" s="98"/>
      <c r="I3" s="98"/>
      <c r="J3" s="98"/>
      <c r="K3" s="98"/>
      <c r="L3" s="92"/>
      <c r="M3" s="87"/>
      <c r="N3" s="22"/>
      <c r="O3" s="22"/>
      <c r="P3" s="98"/>
      <c r="Q3" s="98"/>
      <c r="R3" s="98"/>
      <c r="S3" s="98"/>
    </row>
    <row r="4" spans="8:19" ht="12.75">
      <c r="H4" s="98"/>
      <c r="I4" s="98"/>
      <c r="J4" s="98"/>
      <c r="K4" s="98"/>
      <c r="L4" s="92"/>
      <c r="M4" s="87"/>
      <c r="N4" s="22"/>
      <c r="O4" s="22"/>
      <c r="P4" s="98"/>
      <c r="Q4" s="98"/>
      <c r="R4" s="98"/>
      <c r="S4" s="98"/>
    </row>
    <row r="5" spans="8:19" ht="12.75">
      <c r="H5" s="98"/>
      <c r="I5" s="98"/>
      <c r="J5" s="98"/>
      <c r="K5" s="98"/>
      <c r="L5" s="93"/>
      <c r="M5" s="81"/>
      <c r="N5" s="22"/>
      <c r="O5" s="22"/>
      <c r="P5" s="98"/>
      <c r="Q5" s="98"/>
      <c r="R5" s="98"/>
      <c r="S5" s="98"/>
    </row>
    <row r="6" spans="8:19" ht="12.75">
      <c r="H6" s="98"/>
      <c r="I6" s="98"/>
      <c r="J6" s="98"/>
      <c r="K6" s="98"/>
      <c r="L6" s="92"/>
      <c r="M6" s="81"/>
      <c r="N6" s="22"/>
      <c r="O6" s="22"/>
      <c r="P6" s="98"/>
      <c r="Q6" s="98"/>
      <c r="R6" s="98"/>
      <c r="S6" s="98"/>
    </row>
    <row r="7" spans="8:19" ht="12.75">
      <c r="H7" s="98"/>
      <c r="I7" s="98"/>
      <c r="J7" s="98"/>
      <c r="K7" s="98"/>
      <c r="L7" s="92"/>
      <c r="M7" s="81"/>
      <c r="N7" s="22"/>
      <c r="O7" s="22"/>
      <c r="P7" s="98"/>
      <c r="Q7" s="98"/>
      <c r="R7" s="98"/>
      <c r="S7" s="98"/>
    </row>
    <row r="8" spans="8:19" ht="12.75">
      <c r="H8" s="98"/>
      <c r="I8" s="98"/>
      <c r="J8" s="98"/>
      <c r="K8" s="98"/>
      <c r="L8" s="92"/>
      <c r="M8" s="81"/>
      <c r="N8" s="22"/>
      <c r="O8" s="22"/>
      <c r="P8" s="98"/>
      <c r="Q8" s="98"/>
      <c r="R8" s="98"/>
      <c r="S8" s="98"/>
    </row>
    <row r="9" spans="8:19" ht="12.75">
      <c r="H9" s="98"/>
      <c r="I9" s="98"/>
      <c r="J9" s="33"/>
      <c r="K9" s="33"/>
      <c r="L9" s="93"/>
      <c r="M9" s="76"/>
      <c r="N9" s="22"/>
      <c r="O9" s="22"/>
      <c r="P9" s="98"/>
      <c r="Q9" s="98"/>
      <c r="R9" s="98"/>
      <c r="S9" s="98"/>
    </row>
    <row r="10" spans="8:19" ht="12.75">
      <c r="H10" s="98"/>
      <c r="I10" s="98"/>
      <c r="J10" s="33"/>
      <c r="K10" s="33"/>
      <c r="L10" s="92"/>
      <c r="M10" s="81"/>
      <c r="N10" s="22"/>
      <c r="O10" s="22"/>
      <c r="P10" s="98"/>
      <c r="Q10" s="98"/>
      <c r="R10" s="98"/>
      <c r="S10" s="98"/>
    </row>
    <row r="11" spans="8:19" ht="12.75">
      <c r="H11" s="98"/>
      <c r="I11" s="98"/>
      <c r="J11" s="98"/>
      <c r="K11" s="98"/>
      <c r="L11" s="92"/>
      <c r="M11" s="76"/>
      <c r="N11" s="22"/>
      <c r="O11" s="22"/>
      <c r="P11" s="98"/>
      <c r="Q11" s="98"/>
      <c r="R11" s="98"/>
      <c r="S11" s="98"/>
    </row>
    <row r="12" spans="8:19" ht="12.75">
      <c r="H12" s="98"/>
      <c r="I12" s="98"/>
      <c r="J12" s="98"/>
      <c r="K12" s="98"/>
      <c r="L12" s="92"/>
      <c r="M12" s="76"/>
      <c r="N12" s="22"/>
      <c r="O12" s="22"/>
      <c r="P12" s="98"/>
      <c r="Q12" s="98"/>
      <c r="R12" s="98"/>
      <c r="S12" s="98"/>
    </row>
    <row r="13" spans="8:19" ht="12.75">
      <c r="H13" s="98"/>
      <c r="I13" s="98"/>
      <c r="J13" s="98"/>
      <c r="K13" s="98"/>
      <c r="L13" s="92"/>
      <c r="M13" s="76"/>
      <c r="N13" s="22"/>
      <c r="O13" s="22"/>
      <c r="P13" s="98"/>
      <c r="Q13" s="98"/>
      <c r="R13" s="98"/>
      <c r="S13" s="98"/>
    </row>
    <row r="14" spans="4:19" ht="12.75">
      <c r="D14" s="28"/>
      <c r="E14" s="28"/>
      <c r="F14" s="28"/>
      <c r="H14" s="77"/>
      <c r="I14" s="77"/>
      <c r="J14" s="77"/>
      <c r="K14" s="77"/>
      <c r="L14" s="77"/>
      <c r="M14" s="77"/>
      <c r="N14" s="77"/>
      <c r="O14" s="77"/>
      <c r="P14" s="99"/>
      <c r="Q14" s="98"/>
      <c r="R14" s="98"/>
      <c r="S14" s="98"/>
    </row>
    <row r="15" spans="4:19" ht="12.75">
      <c r="D15" s="28"/>
      <c r="E15" s="28"/>
      <c r="F15" s="78"/>
      <c r="G15" s="67"/>
      <c r="H15" s="77"/>
      <c r="I15" s="77"/>
      <c r="J15" s="77"/>
      <c r="K15" s="77"/>
      <c r="L15" s="77"/>
      <c r="M15" s="77"/>
      <c r="N15" s="77"/>
      <c r="O15" s="77"/>
      <c r="P15" s="99"/>
      <c r="Q15" s="98"/>
      <c r="R15" s="98"/>
      <c r="S15" s="98"/>
    </row>
    <row r="16" spans="4:19" ht="15">
      <c r="D16" s="106" t="s">
        <v>50</v>
      </c>
      <c r="E16" s="106" t="s">
        <v>51</v>
      </c>
      <c r="F16" s="106" t="s">
        <v>52</v>
      </c>
      <c r="G16" s="80"/>
      <c r="H16" s="105"/>
      <c r="K16" s="79"/>
      <c r="L16" s="79"/>
      <c r="M16" s="79"/>
      <c r="N16" s="79"/>
      <c r="O16" s="79"/>
      <c r="P16" s="98"/>
      <c r="Q16" s="98"/>
      <c r="R16" s="98"/>
      <c r="S16" s="98"/>
    </row>
    <row r="17" spans="4:19" ht="12.75">
      <c r="D17" s="107" t="s">
        <v>53</v>
      </c>
      <c r="E17" s="107" t="s">
        <v>54</v>
      </c>
      <c r="F17" s="107" t="s">
        <v>54</v>
      </c>
      <c r="G17" s="67"/>
      <c r="K17" s="33"/>
      <c r="L17" s="33"/>
      <c r="M17" s="33"/>
      <c r="N17" s="33"/>
      <c r="O17" s="33"/>
      <c r="P17" s="98"/>
      <c r="Q17" s="98"/>
      <c r="R17" s="98"/>
      <c r="S17" s="98"/>
    </row>
    <row r="18" spans="4:19" ht="12.75">
      <c r="D18" s="113"/>
      <c r="E18" s="113"/>
      <c r="F18" s="113"/>
      <c r="G18" s="67"/>
      <c r="K18" s="33"/>
      <c r="L18" s="33"/>
      <c r="M18" s="33"/>
      <c r="N18" s="33"/>
      <c r="O18" s="33"/>
      <c r="P18" s="98"/>
      <c r="Q18" s="98"/>
      <c r="R18" s="98"/>
      <c r="S18" s="98"/>
    </row>
    <row r="19" spans="4:19" ht="12.75">
      <c r="D19" s="108">
        <v>0</v>
      </c>
      <c r="E19" s="108">
        <v>0</v>
      </c>
      <c r="F19" s="108">
        <v>0</v>
      </c>
      <c r="G19" s="67"/>
      <c r="K19" s="98"/>
      <c r="L19" s="87"/>
      <c r="M19" s="98"/>
      <c r="N19" s="98"/>
      <c r="O19" s="98"/>
      <c r="P19" s="98"/>
      <c r="Q19" s="98"/>
      <c r="R19" s="98"/>
      <c r="S19" s="98"/>
    </row>
    <row r="20" spans="4:19" ht="12.75">
      <c r="D20" s="108">
        <v>10</v>
      </c>
      <c r="E20" s="109">
        <v>0.5</v>
      </c>
      <c r="F20" s="109">
        <v>0.5</v>
      </c>
      <c r="G20" s="67"/>
      <c r="K20" s="88"/>
      <c r="L20" s="81"/>
      <c r="M20" s="81"/>
      <c r="N20" s="88"/>
      <c r="O20" s="81"/>
      <c r="P20" s="98"/>
      <c r="Q20" s="98"/>
      <c r="R20" s="98"/>
      <c r="S20" s="98"/>
    </row>
    <row r="21" spans="4:19" ht="12.75">
      <c r="D21" s="108">
        <v>20</v>
      </c>
      <c r="E21" s="109">
        <v>1.6</v>
      </c>
      <c r="F21" s="109">
        <v>2.1</v>
      </c>
      <c r="G21" s="67"/>
      <c r="K21" s="88"/>
      <c r="L21" s="88"/>
      <c r="M21" s="81"/>
      <c r="N21" s="88"/>
      <c r="O21" s="88"/>
      <c r="P21" s="98"/>
      <c r="Q21" s="98"/>
      <c r="R21" s="98"/>
      <c r="S21" s="98"/>
    </row>
    <row r="22" spans="4:19" ht="12.75">
      <c r="D22" s="108">
        <v>30</v>
      </c>
      <c r="E22" s="109">
        <v>2.3</v>
      </c>
      <c r="F22" s="109">
        <v>4.4</v>
      </c>
      <c r="G22" s="67"/>
      <c r="K22" s="88"/>
      <c r="L22" s="88"/>
      <c r="M22" s="81"/>
      <c r="N22" s="88"/>
      <c r="O22" s="88"/>
      <c r="P22" s="98"/>
      <c r="Q22" s="77"/>
      <c r="R22" s="77"/>
      <c r="S22" s="77"/>
    </row>
    <row r="23" spans="4:19" ht="12.75">
      <c r="D23" s="108">
        <v>40</v>
      </c>
      <c r="E23" s="109">
        <v>2.9</v>
      </c>
      <c r="F23" s="109">
        <v>7.3</v>
      </c>
      <c r="G23" s="67"/>
      <c r="K23" s="88"/>
      <c r="L23" s="88"/>
      <c r="M23" s="81"/>
      <c r="N23" s="88"/>
      <c r="O23" s="88"/>
      <c r="P23" s="98"/>
      <c r="Q23" s="100"/>
      <c r="R23" s="98"/>
      <c r="S23" s="98"/>
    </row>
    <row r="24" spans="4:45" ht="12.75">
      <c r="D24" s="108">
        <v>50</v>
      </c>
      <c r="E24" s="109">
        <v>4.2</v>
      </c>
      <c r="F24" s="109">
        <v>11.5</v>
      </c>
      <c r="G24" s="67"/>
      <c r="K24" s="88"/>
      <c r="L24" s="88"/>
      <c r="M24" s="81"/>
      <c r="N24" s="88"/>
      <c r="O24" s="88"/>
      <c r="P24" s="98"/>
      <c r="Q24" s="98"/>
      <c r="R24" s="98"/>
      <c r="S24" s="98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4:45" ht="12.75">
      <c r="D25" s="108">
        <v>60</v>
      </c>
      <c r="E25" s="109">
        <v>4.9</v>
      </c>
      <c r="F25" s="109">
        <v>16.4</v>
      </c>
      <c r="G25" s="67"/>
      <c r="K25" s="89"/>
      <c r="L25" s="89"/>
      <c r="M25" s="101"/>
      <c r="N25" s="88"/>
      <c r="O25" s="88"/>
      <c r="P25" s="102"/>
      <c r="Q25" s="98"/>
      <c r="R25" s="98"/>
      <c r="S25" s="98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4:45" ht="12.75">
      <c r="D26" s="108">
        <v>70</v>
      </c>
      <c r="E26" s="109">
        <v>7.1</v>
      </c>
      <c r="F26" s="109">
        <v>23.5</v>
      </c>
      <c r="G26" s="67"/>
      <c r="K26" s="89"/>
      <c r="L26" s="89"/>
      <c r="M26" s="101"/>
      <c r="N26" s="88"/>
      <c r="O26" s="88"/>
      <c r="P26" s="102"/>
      <c r="Q26" s="98"/>
      <c r="R26" s="98"/>
      <c r="S26" s="98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4:45" ht="12.75">
      <c r="D27" s="108">
        <v>80</v>
      </c>
      <c r="E27" s="109">
        <v>5.6</v>
      </c>
      <c r="F27" s="109">
        <v>29.1</v>
      </c>
      <c r="G27" s="67"/>
      <c r="K27" s="89"/>
      <c r="L27" s="89"/>
      <c r="M27" s="101"/>
      <c r="N27" s="88"/>
      <c r="O27" s="88"/>
      <c r="P27" s="102"/>
      <c r="Q27" s="98"/>
      <c r="R27" s="98"/>
      <c r="S27" s="98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4:45" ht="12.75">
      <c r="D28" s="108">
        <v>90</v>
      </c>
      <c r="E28" s="109">
        <v>4</v>
      </c>
      <c r="F28" s="109">
        <v>33.1</v>
      </c>
      <c r="G28" s="67"/>
      <c r="K28" s="89"/>
      <c r="L28" s="89"/>
      <c r="M28" s="101"/>
      <c r="N28" s="88"/>
      <c r="O28" s="88"/>
      <c r="P28" s="102"/>
      <c r="Q28" s="98"/>
      <c r="R28" s="98"/>
      <c r="S28" s="98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4:45" ht="12.75">
      <c r="D29" s="108">
        <v>100</v>
      </c>
      <c r="E29" s="109">
        <v>2.1</v>
      </c>
      <c r="F29" s="109">
        <v>35.2</v>
      </c>
      <c r="G29" s="67"/>
      <c r="K29" s="89"/>
      <c r="L29" s="89"/>
      <c r="M29" s="101"/>
      <c r="N29" s="88"/>
      <c r="O29" s="88"/>
      <c r="P29" s="102"/>
      <c r="Q29" s="98"/>
      <c r="R29" s="98"/>
      <c r="S29" s="98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4:45" ht="12.75">
      <c r="D30" s="108">
        <v>110</v>
      </c>
      <c r="E30" s="109">
        <v>1.6</v>
      </c>
      <c r="F30" s="109">
        <v>36.8</v>
      </c>
      <c r="G30" s="67"/>
      <c r="K30" s="89"/>
      <c r="L30" s="89"/>
      <c r="M30" s="103"/>
      <c r="N30" s="88"/>
      <c r="O30" s="88"/>
      <c r="P30" s="102"/>
      <c r="Q30" s="98"/>
      <c r="R30" s="98"/>
      <c r="S30" s="9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4:19" ht="12.75">
      <c r="D31" s="110">
        <v>120</v>
      </c>
      <c r="E31" s="111">
        <v>0.6</v>
      </c>
      <c r="F31" s="111">
        <v>37.4</v>
      </c>
      <c r="G31" s="67"/>
      <c r="K31" s="88"/>
      <c r="L31" s="88"/>
      <c r="M31" s="81"/>
      <c r="N31" s="88"/>
      <c r="O31" s="88"/>
      <c r="P31" s="98"/>
      <c r="Q31" s="98"/>
      <c r="R31" s="98"/>
      <c r="S31" s="98"/>
    </row>
    <row r="32" spans="4:29" ht="12.75">
      <c r="D32" s="20"/>
      <c r="E32" s="29"/>
      <c r="F32" s="82"/>
      <c r="G32" s="67"/>
      <c r="K32" s="88"/>
      <c r="L32" s="88"/>
      <c r="M32" s="81"/>
      <c r="N32" s="88"/>
      <c r="O32" s="88"/>
      <c r="P32" s="94"/>
      <c r="Q32" s="95"/>
      <c r="R32" s="95"/>
      <c r="S32" s="95"/>
      <c r="T32" s="6"/>
      <c r="U32" s="5"/>
      <c r="V32" s="4"/>
      <c r="W32" s="5"/>
      <c r="X32" s="3"/>
      <c r="Y32" s="7"/>
      <c r="Z32" s="8"/>
      <c r="AA32" s="9"/>
      <c r="AB32" s="9"/>
      <c r="AC32" s="9"/>
    </row>
    <row r="33" spans="3:29" ht="12.75">
      <c r="C33" s="67"/>
      <c r="D33" s="67"/>
      <c r="E33" s="84"/>
      <c r="F33" s="83"/>
      <c r="G33" s="67"/>
      <c r="H33" s="112"/>
      <c r="K33" s="98"/>
      <c r="L33" s="98"/>
      <c r="M33" s="98"/>
      <c r="N33" s="98"/>
      <c r="O33" s="98"/>
      <c r="P33" s="94"/>
      <c r="Q33" s="95"/>
      <c r="R33" s="95"/>
      <c r="S33" s="95"/>
      <c r="T33" s="6"/>
      <c r="U33" s="5"/>
      <c r="V33" s="4"/>
      <c r="W33" s="5"/>
      <c r="X33" s="3"/>
      <c r="Y33" s="7"/>
      <c r="Z33" s="8"/>
      <c r="AA33" s="9"/>
      <c r="AB33" s="9"/>
      <c r="AC33" s="9"/>
    </row>
    <row r="34" spans="3:29" ht="12.75">
      <c r="C34" s="67"/>
      <c r="D34" s="67"/>
      <c r="E34" s="67"/>
      <c r="F34" s="67"/>
      <c r="G34" s="67"/>
      <c r="H34" s="98"/>
      <c r="I34" s="98"/>
      <c r="J34" s="98"/>
      <c r="K34" s="98"/>
      <c r="L34" s="98"/>
      <c r="M34" s="98"/>
      <c r="N34" s="98"/>
      <c r="O34" s="98"/>
      <c r="P34" s="94"/>
      <c r="Q34" s="95"/>
      <c r="R34" s="95"/>
      <c r="S34" s="95"/>
      <c r="T34" s="6"/>
      <c r="U34" s="5"/>
      <c r="V34" s="4"/>
      <c r="W34" s="5"/>
      <c r="X34" s="3"/>
      <c r="Y34" s="7"/>
      <c r="Z34" s="8"/>
      <c r="AA34" s="9"/>
      <c r="AB34" s="9"/>
      <c r="AC34" s="9"/>
    </row>
    <row r="35" spans="3:29" ht="12.75">
      <c r="C35" s="67"/>
      <c r="D35" s="85"/>
      <c r="E35" s="86"/>
      <c r="F35" s="33"/>
      <c r="G35" s="67"/>
      <c r="H35" s="98"/>
      <c r="I35" s="98"/>
      <c r="J35" s="98"/>
      <c r="K35" s="98"/>
      <c r="L35" s="98"/>
      <c r="M35" s="104"/>
      <c r="N35" s="88"/>
      <c r="O35" s="81"/>
      <c r="P35" s="94"/>
      <c r="Q35" s="95"/>
      <c r="R35" s="95"/>
      <c r="S35" s="95"/>
      <c r="T35" s="6"/>
      <c r="U35" s="5"/>
      <c r="V35" s="4"/>
      <c r="W35" s="5"/>
      <c r="X35" s="3"/>
      <c r="Y35" s="7"/>
      <c r="Z35" s="8"/>
      <c r="AA35" s="9"/>
      <c r="AB35" s="9"/>
      <c r="AC35" s="9"/>
    </row>
    <row r="36" spans="3:29" ht="12.75">
      <c r="C36" s="67"/>
      <c r="D36" s="67"/>
      <c r="E36" s="67"/>
      <c r="F36" s="67"/>
      <c r="G36" s="67"/>
      <c r="H36" s="98"/>
      <c r="I36" s="98"/>
      <c r="J36" s="98"/>
      <c r="K36" s="98"/>
      <c r="L36" s="98"/>
      <c r="M36" s="104"/>
      <c r="N36" s="88"/>
      <c r="O36" s="81"/>
      <c r="P36" s="96"/>
      <c r="Q36" s="97"/>
      <c r="R36" s="98"/>
      <c r="S36" s="98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3:29" ht="12.7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3:29" ht="12.7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85"/>
      <c r="N38" s="90"/>
      <c r="O38" s="6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8:29" ht="12.75">
      <c r="H39" s="67"/>
      <c r="I39" s="67"/>
      <c r="J39" s="67"/>
      <c r="K39" s="67"/>
      <c r="L39" s="67"/>
      <c r="M39" s="67"/>
      <c r="N39" s="67"/>
      <c r="O39" s="6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8:15" ht="12.75">
      <c r="H40" s="67"/>
      <c r="I40" s="67"/>
      <c r="J40" s="67"/>
      <c r="K40" s="67"/>
      <c r="L40" s="67"/>
      <c r="M40" s="67"/>
      <c r="N40" s="67"/>
      <c r="O40" s="67"/>
    </row>
  </sheetData>
  <mergeCells count="5">
    <mergeCell ref="Q22:S22"/>
    <mergeCell ref="H14:O14"/>
    <mergeCell ref="H15:J15"/>
    <mergeCell ref="K15:M15"/>
    <mergeCell ref="N15:O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BA38"/>
  <sheetViews>
    <sheetView zoomScale="75" zoomScaleNormal="75" workbookViewId="0" topLeftCell="A1">
      <selection activeCell="K35" sqref="K35"/>
    </sheetView>
  </sheetViews>
  <sheetFormatPr defaultColWidth="9.140625" defaultRowHeight="12.75"/>
  <cols>
    <col min="4" max="5" width="8.7109375" style="0" customWidth="1"/>
    <col min="6" max="6" width="10.28125" style="0" customWidth="1"/>
    <col min="8" max="8" width="11.140625" style="0" customWidth="1"/>
    <col min="9" max="9" width="10.00390625" style="0" customWidth="1"/>
    <col min="10" max="10" width="15.140625" style="0" customWidth="1"/>
    <col min="11" max="11" width="12.140625" style="0" customWidth="1"/>
    <col min="12" max="12" width="11.421875" style="0" customWidth="1"/>
    <col min="13" max="13" width="14.8515625" style="0" customWidth="1"/>
    <col min="14" max="15" width="13.57421875" style="0" customWidth="1"/>
    <col min="17" max="17" width="13.00390625" style="0" customWidth="1"/>
  </cols>
  <sheetData>
    <row r="2" ht="12.75">
      <c r="M2" s="18" t="s">
        <v>3</v>
      </c>
    </row>
    <row r="3" spans="3:15" ht="18">
      <c r="C3" s="75" t="s">
        <v>19</v>
      </c>
      <c r="L3" s="17" t="s">
        <v>26</v>
      </c>
      <c r="M3" s="25">
        <v>35</v>
      </c>
      <c r="N3" s="21" t="s">
        <v>28</v>
      </c>
      <c r="O3" s="21"/>
    </row>
    <row r="4" spans="12:15" ht="12.75">
      <c r="L4" s="17" t="s">
        <v>27</v>
      </c>
      <c r="M4" s="25">
        <v>14</v>
      </c>
      <c r="N4" s="21" t="s">
        <v>28</v>
      </c>
      <c r="O4" s="21"/>
    </row>
    <row r="5" spans="12:15" ht="12.75">
      <c r="L5" s="19" t="s">
        <v>4</v>
      </c>
      <c r="M5" s="23">
        <v>8</v>
      </c>
      <c r="N5" s="21" t="s">
        <v>20</v>
      </c>
      <c r="O5" s="21"/>
    </row>
    <row r="6" spans="12:15" ht="12.75">
      <c r="L6" s="17" t="s">
        <v>5</v>
      </c>
      <c r="M6" s="23">
        <v>88</v>
      </c>
      <c r="N6" s="21" t="s">
        <v>21</v>
      </c>
      <c r="O6" s="21"/>
    </row>
    <row r="7" spans="12:15" ht="12.75">
      <c r="L7" s="17" t="s">
        <v>6</v>
      </c>
      <c r="M7" s="26">
        <f>(M3-M4)/100</f>
        <v>0.21</v>
      </c>
      <c r="N7" s="21"/>
      <c r="O7" s="21"/>
    </row>
    <row r="8" spans="12:15" ht="12.75">
      <c r="L8" s="17" t="s">
        <v>7</v>
      </c>
      <c r="M8" s="26">
        <f>M6*M7</f>
        <v>18.48</v>
      </c>
      <c r="N8" s="21" t="s">
        <v>21</v>
      </c>
      <c r="O8" s="21"/>
    </row>
    <row r="9" spans="10:15" ht="12.75">
      <c r="J9" s="33"/>
      <c r="K9" s="33"/>
      <c r="L9" s="19" t="s">
        <v>24</v>
      </c>
      <c r="M9" s="27">
        <f>M5*M11</f>
        <v>1.3333333333333333</v>
      </c>
      <c r="N9" s="21" t="s">
        <v>21</v>
      </c>
      <c r="O9" s="21"/>
    </row>
    <row r="10" spans="10:15" ht="12.75">
      <c r="J10" s="33"/>
      <c r="K10" s="33"/>
      <c r="L10" s="17" t="s">
        <v>25</v>
      </c>
      <c r="M10" s="23">
        <v>10</v>
      </c>
      <c r="N10" s="22" t="s">
        <v>23</v>
      </c>
      <c r="O10" s="22"/>
    </row>
    <row r="11" spans="12:15" ht="12.75">
      <c r="L11" s="17" t="s">
        <v>25</v>
      </c>
      <c r="M11" s="27">
        <f>M10/60</f>
        <v>0.16666666666666666</v>
      </c>
      <c r="N11" s="22" t="s">
        <v>22</v>
      </c>
      <c r="O11" s="22"/>
    </row>
    <row r="12" spans="12:15" ht="12.75">
      <c r="L12" s="17"/>
      <c r="M12" s="76"/>
      <c r="N12" s="22"/>
      <c r="O12" s="22"/>
    </row>
    <row r="13" spans="12:15" ht="12.75">
      <c r="L13" s="17"/>
      <c r="M13" s="76"/>
      <c r="N13" s="22"/>
      <c r="O13" s="22"/>
    </row>
    <row r="14" spans="4:16" ht="12.75">
      <c r="D14" s="28" t="s">
        <v>29</v>
      </c>
      <c r="E14" s="28"/>
      <c r="F14" s="28"/>
      <c r="H14" s="74" t="s">
        <v>30</v>
      </c>
      <c r="I14" s="74"/>
      <c r="J14" s="74"/>
      <c r="K14" s="74"/>
      <c r="L14" s="74"/>
      <c r="M14" s="74"/>
      <c r="N14" s="74"/>
      <c r="O14" s="74"/>
      <c r="P14" s="24"/>
    </row>
    <row r="15" spans="4:16" ht="12.75">
      <c r="D15" s="28"/>
      <c r="E15" s="28"/>
      <c r="F15" s="28"/>
      <c r="H15" s="71" t="s">
        <v>35</v>
      </c>
      <c r="I15" s="72"/>
      <c r="J15" s="73"/>
      <c r="K15" s="71" t="s">
        <v>36</v>
      </c>
      <c r="L15" s="72"/>
      <c r="M15" s="73"/>
      <c r="N15" s="71" t="s">
        <v>37</v>
      </c>
      <c r="O15" s="73"/>
      <c r="P15" s="24"/>
    </row>
    <row r="16" spans="4:15" ht="25.5">
      <c r="D16" s="34" t="s">
        <v>0</v>
      </c>
      <c r="E16" s="34" t="s">
        <v>1</v>
      </c>
      <c r="F16" s="35" t="s">
        <v>2</v>
      </c>
      <c r="G16" s="36"/>
      <c r="H16" s="38" t="s">
        <v>47</v>
      </c>
      <c r="I16" s="39" t="s">
        <v>43</v>
      </c>
      <c r="J16" s="40" t="s">
        <v>44</v>
      </c>
      <c r="K16" s="38" t="s">
        <v>47</v>
      </c>
      <c r="L16" s="39" t="s">
        <v>42</v>
      </c>
      <c r="M16" s="40" t="s">
        <v>44</v>
      </c>
      <c r="N16" s="38" t="s">
        <v>47</v>
      </c>
      <c r="O16" s="40" t="s">
        <v>42</v>
      </c>
    </row>
    <row r="17" spans="4:15" ht="12.75">
      <c r="D17" s="31" t="s">
        <v>23</v>
      </c>
      <c r="E17" s="31" t="s">
        <v>21</v>
      </c>
      <c r="F17" s="32" t="s">
        <v>20</v>
      </c>
      <c r="H17" s="41" t="s">
        <v>21</v>
      </c>
      <c r="I17" s="32" t="s">
        <v>20</v>
      </c>
      <c r="J17" s="42"/>
      <c r="K17" s="41" t="s">
        <v>21</v>
      </c>
      <c r="L17" s="32" t="s">
        <v>20</v>
      </c>
      <c r="M17" s="42"/>
      <c r="N17" s="41" t="s">
        <v>21</v>
      </c>
      <c r="O17" s="42" t="s">
        <v>20</v>
      </c>
    </row>
    <row r="18" spans="4:15" ht="12.75">
      <c r="D18" s="20"/>
      <c r="E18" s="20"/>
      <c r="F18" s="26"/>
      <c r="H18" s="43"/>
      <c r="I18" s="26"/>
      <c r="J18" s="44"/>
      <c r="K18" s="52"/>
      <c r="L18" s="53"/>
      <c r="M18" s="44"/>
      <c r="N18" s="52"/>
      <c r="O18" s="44"/>
    </row>
    <row r="19" spans="4:15" ht="12.75">
      <c r="D19" s="20">
        <v>0</v>
      </c>
      <c r="E19" s="20">
        <v>0</v>
      </c>
      <c r="F19" s="26">
        <v>0</v>
      </c>
      <c r="H19" s="45">
        <v>0</v>
      </c>
      <c r="I19" s="26" t="s">
        <v>8</v>
      </c>
      <c r="J19" s="44"/>
      <c r="K19" s="46">
        <v>0</v>
      </c>
      <c r="L19" s="26" t="s">
        <v>8</v>
      </c>
      <c r="M19" s="54" t="str">
        <f aca="true" t="shared" si="0" ref="M19:M24">IF(L19&gt;F19,"f&gt;i","f&lt;i")</f>
        <v>f&gt;i</v>
      </c>
      <c r="N19" s="46">
        <f>K19</f>
        <v>0</v>
      </c>
      <c r="O19" s="54" t="s">
        <v>8</v>
      </c>
    </row>
    <row r="20" spans="4:15" ht="12.75">
      <c r="D20" s="20">
        <v>10</v>
      </c>
      <c r="E20" s="29">
        <v>0.5</v>
      </c>
      <c r="F20" s="30">
        <f aca="true" t="shared" si="1" ref="F20:F31">E20*6</f>
        <v>3</v>
      </c>
      <c r="H20" s="46">
        <f>E20+H19</f>
        <v>0.5</v>
      </c>
      <c r="I20" s="30">
        <f aca="true" t="shared" si="2" ref="I20:I31">$M$5*(($M$6*$M$7/H20)+1)</f>
        <v>303.68</v>
      </c>
      <c r="J20" s="47" t="str">
        <f>IF(I20&gt;F20,"f&gt;i","f&lt;i")</f>
        <v>f&gt;i</v>
      </c>
      <c r="K20" s="46">
        <f>IF(I20&gt;F20,E20+K19,P20+K19)</f>
        <v>0.5</v>
      </c>
      <c r="L20" s="55">
        <f aca="true" t="shared" si="3" ref="L20:L31">IF(I20&gt;F20,I20,$M$5*(1+($M$8/K20)))</f>
        <v>303.68</v>
      </c>
      <c r="M20" s="54" t="str">
        <f t="shared" si="0"/>
        <v>f&gt;i</v>
      </c>
      <c r="N20" s="46">
        <f aca="true" t="shared" si="4" ref="N20:N28">K20</f>
        <v>0.5</v>
      </c>
      <c r="O20" s="59">
        <f>IF(L20&gt;I20,L20,$M$5*(1+($M$8/N20)))</f>
        <v>303.68</v>
      </c>
    </row>
    <row r="21" spans="4:19" ht="12.75">
      <c r="D21" s="20">
        <v>20</v>
      </c>
      <c r="E21" s="29">
        <v>1.6</v>
      </c>
      <c r="F21" s="30">
        <f t="shared" si="1"/>
        <v>9.600000000000001</v>
      </c>
      <c r="H21" s="46">
        <f aca="true" t="shared" si="5" ref="H21:H31">E21+H20</f>
        <v>2.1</v>
      </c>
      <c r="I21" s="30">
        <f t="shared" si="2"/>
        <v>78.4</v>
      </c>
      <c r="J21" s="47" t="str">
        <f aca="true" t="shared" si="6" ref="J21:J31">IF(I21&gt;F21,"f&gt;i","f&lt;i")</f>
        <v>f&gt;i</v>
      </c>
      <c r="K21" s="46">
        <f>IF(I21&gt;F21,E21+K20,P21+K20)</f>
        <v>2.1</v>
      </c>
      <c r="L21" s="55">
        <f t="shared" si="3"/>
        <v>78.4</v>
      </c>
      <c r="M21" s="54" t="str">
        <f t="shared" si="0"/>
        <v>f&gt;i</v>
      </c>
      <c r="N21" s="46">
        <f t="shared" si="4"/>
        <v>2.1</v>
      </c>
      <c r="O21" s="59">
        <f aca="true" t="shared" si="7" ref="O21:O31">IF(L21&gt;I21,L21,$M$5*(1+($M$8/N21)))</f>
        <v>78.4</v>
      </c>
      <c r="Q21" s="71" t="s">
        <v>35</v>
      </c>
      <c r="R21" s="72"/>
      <c r="S21" s="73"/>
    </row>
    <row r="22" spans="4:18" ht="12.75">
      <c r="D22" s="20">
        <v>30</v>
      </c>
      <c r="E22" s="29">
        <v>2.3</v>
      </c>
      <c r="F22" s="30">
        <f t="shared" si="1"/>
        <v>13.799999999999999</v>
      </c>
      <c r="H22" s="46">
        <f t="shared" si="5"/>
        <v>4.4</v>
      </c>
      <c r="I22" s="30">
        <f t="shared" si="2"/>
        <v>41.6</v>
      </c>
      <c r="J22" s="47" t="str">
        <f t="shared" si="6"/>
        <v>f&gt;i</v>
      </c>
      <c r="K22" s="46">
        <f>IF(I22&gt;F22,E22+K21,P22+K21)</f>
        <v>4.4</v>
      </c>
      <c r="L22" s="55">
        <f t="shared" si="3"/>
        <v>41.6</v>
      </c>
      <c r="M22" s="54" t="str">
        <f t="shared" si="0"/>
        <v>f&gt;i</v>
      </c>
      <c r="N22" s="46">
        <f t="shared" si="4"/>
        <v>4.4</v>
      </c>
      <c r="O22" s="59">
        <f t="shared" si="7"/>
        <v>41.6</v>
      </c>
      <c r="Q22" s="12" t="s">
        <v>33</v>
      </c>
      <c r="R22" s="12" t="s">
        <v>32</v>
      </c>
    </row>
    <row r="23" spans="4:45" ht="12.75">
      <c r="D23" s="20">
        <v>40</v>
      </c>
      <c r="E23" s="29">
        <v>2.9</v>
      </c>
      <c r="F23" s="30">
        <f t="shared" si="1"/>
        <v>17.4</v>
      </c>
      <c r="H23" s="46">
        <f t="shared" si="5"/>
        <v>7.300000000000001</v>
      </c>
      <c r="I23" s="30">
        <f t="shared" si="2"/>
        <v>28.252054794520546</v>
      </c>
      <c r="J23" s="47" t="str">
        <f t="shared" si="6"/>
        <v>f&gt;i</v>
      </c>
      <c r="K23" s="46">
        <f>IF(I23&gt;F23,E23+K22,P23+K22)</f>
        <v>7.300000000000001</v>
      </c>
      <c r="L23" s="55">
        <f t="shared" si="3"/>
        <v>28.252054794520546</v>
      </c>
      <c r="M23" s="54" t="str">
        <f t="shared" si="0"/>
        <v>f&gt;i</v>
      </c>
      <c r="N23" s="46">
        <f t="shared" si="4"/>
        <v>7.300000000000001</v>
      </c>
      <c r="O23" s="59">
        <f t="shared" si="7"/>
        <v>28.252054794520546</v>
      </c>
      <c r="P23" s="13" t="s">
        <v>10</v>
      </c>
      <c r="Q23" s="13" t="s">
        <v>9</v>
      </c>
      <c r="R23" s="13" t="s">
        <v>11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4:53" ht="12.75">
      <c r="D24" s="20">
        <v>50</v>
      </c>
      <c r="E24" s="29">
        <v>4.2</v>
      </c>
      <c r="F24" s="30">
        <f t="shared" si="1"/>
        <v>25.200000000000003</v>
      </c>
      <c r="H24" s="46">
        <f t="shared" si="5"/>
        <v>11.5</v>
      </c>
      <c r="I24" s="30">
        <f t="shared" si="2"/>
        <v>20.855652173913043</v>
      </c>
      <c r="J24" s="48" t="str">
        <f t="shared" si="6"/>
        <v>f&lt;i</v>
      </c>
      <c r="K24" s="61">
        <f aca="true" t="shared" si="8" ref="K24:K31">IF(I24&gt;F24,E24+K23,P24)</f>
        <v>11.296974236499924</v>
      </c>
      <c r="L24" s="62">
        <f t="shared" si="3"/>
        <v>21.0866900202655</v>
      </c>
      <c r="M24" s="48" t="str">
        <f t="shared" si="0"/>
        <v>f&lt;i</v>
      </c>
      <c r="N24" s="46">
        <f t="shared" si="4"/>
        <v>11.296974236499924</v>
      </c>
      <c r="O24" s="59">
        <f t="shared" si="7"/>
        <v>21.0866900202655</v>
      </c>
      <c r="P24" s="37">
        <f aca="true" t="shared" si="9" ref="P24:P29">BA24</f>
        <v>11.296974236499924</v>
      </c>
      <c r="Q24" s="13">
        <f>$M$9+$H$23+$M$8*LN(($M$9+$M$8)/($H$23+$M$8))</f>
        <v>3.7685863243102515</v>
      </c>
      <c r="R24" s="13">
        <f aca="true" t="shared" si="10" ref="R24:BA24">$M$9+$H$23+$M$8*LN((Q24+$M$8)/($H$23+$M$8))</f>
        <v>5.910849996159529</v>
      </c>
      <c r="S24" s="13">
        <f t="shared" si="10"/>
        <v>7.609708841607986</v>
      </c>
      <c r="T24" s="13">
        <f t="shared" si="10"/>
        <v>8.854020417900903</v>
      </c>
      <c r="U24" s="13">
        <f t="shared" si="10"/>
        <v>9.715024984547856</v>
      </c>
      <c r="V24" s="13">
        <f t="shared" si="10"/>
        <v>10.288153501227182</v>
      </c>
      <c r="W24" s="13">
        <f t="shared" si="10"/>
        <v>10.660034870434014</v>
      </c>
      <c r="X24" s="13">
        <f t="shared" si="10"/>
        <v>10.897392051616928</v>
      </c>
      <c r="Y24" s="13">
        <f t="shared" si="10"/>
        <v>11.047309264142601</v>
      </c>
      <c r="Z24" s="13">
        <f t="shared" si="10"/>
        <v>11.14137564619565</v>
      </c>
      <c r="AA24" s="13">
        <f t="shared" si="10"/>
        <v>11.200154576226126</v>
      </c>
      <c r="AB24" s="13">
        <f t="shared" si="10"/>
        <v>11.236788874822263</v>
      </c>
      <c r="AC24" s="13">
        <f t="shared" si="10"/>
        <v>11.259584725402007</v>
      </c>
      <c r="AD24" s="13">
        <f t="shared" si="10"/>
        <v>11.273755362252084</v>
      </c>
      <c r="AE24" s="13">
        <f t="shared" si="10"/>
        <v>11.282558813984867</v>
      </c>
      <c r="AF24" s="13">
        <f t="shared" si="10"/>
        <v>11.288025812116725</v>
      </c>
      <c r="AG24" s="13">
        <f t="shared" si="10"/>
        <v>11.291420038005665</v>
      </c>
      <c r="AH24" s="13">
        <f t="shared" si="10"/>
        <v>11.29352705440798</v>
      </c>
      <c r="AI24" s="13">
        <f t="shared" si="10"/>
        <v>11.294834895460239</v>
      </c>
      <c r="AJ24" s="13">
        <f t="shared" si="10"/>
        <v>11.295646635762012</v>
      </c>
      <c r="AK24" s="13">
        <f t="shared" si="10"/>
        <v>11.296150442293612</v>
      </c>
      <c r="AL24" s="13">
        <f t="shared" si="10"/>
        <v>11.296463122856116</v>
      </c>
      <c r="AM24" s="13">
        <f t="shared" si="10"/>
        <v>11.29665718106613</v>
      </c>
      <c r="AN24" s="13">
        <f t="shared" si="10"/>
        <v>11.296777617936705</v>
      </c>
      <c r="AO24" s="13">
        <f t="shared" si="10"/>
        <v>11.296852363360733</v>
      </c>
      <c r="AP24" s="13">
        <f t="shared" si="10"/>
        <v>11.296898751647607</v>
      </c>
      <c r="AQ24" s="13">
        <f t="shared" si="10"/>
        <v>11.296927540952241</v>
      </c>
      <c r="AR24" s="13">
        <f t="shared" si="10"/>
        <v>11.29694540802755</v>
      </c>
      <c r="AS24" s="13">
        <f t="shared" si="10"/>
        <v>11.296956496594433</v>
      </c>
      <c r="AT24">
        <f t="shared" si="10"/>
        <v>11.296963378317024</v>
      </c>
      <c r="AU24">
        <f t="shared" si="10"/>
        <v>11.296967649210819</v>
      </c>
      <c r="AV24">
        <f t="shared" si="10"/>
        <v>11.29697029978706</v>
      </c>
      <c r="AW24">
        <f t="shared" si="10"/>
        <v>11.296971944771443</v>
      </c>
      <c r="AX24">
        <f t="shared" si="10"/>
        <v>11.296972965671497</v>
      </c>
      <c r="AY24">
        <f t="shared" si="10"/>
        <v>11.296973599256157</v>
      </c>
      <c r="AZ24">
        <f t="shared" si="10"/>
        <v>11.296973992467532</v>
      </c>
      <c r="BA24">
        <f t="shared" si="10"/>
        <v>11.296974236499924</v>
      </c>
    </row>
    <row r="25" spans="4:53" ht="12.75">
      <c r="D25" s="20">
        <v>60</v>
      </c>
      <c r="E25" s="29">
        <v>4.9</v>
      </c>
      <c r="F25" s="30">
        <f t="shared" si="1"/>
        <v>29.400000000000002</v>
      </c>
      <c r="H25" s="46">
        <f t="shared" si="5"/>
        <v>16.4</v>
      </c>
      <c r="I25" s="30">
        <f t="shared" si="2"/>
        <v>17.014634146341464</v>
      </c>
      <c r="J25" s="48" t="str">
        <f t="shared" si="6"/>
        <v>f&lt;i</v>
      </c>
      <c r="K25" s="61">
        <f t="shared" si="8"/>
        <v>14.54166543381038</v>
      </c>
      <c r="L25" s="62">
        <f t="shared" si="3"/>
        <v>18.166648426408006</v>
      </c>
      <c r="M25" s="48" t="str">
        <f aca="true" t="shared" si="11" ref="M25:M31">IF(L25&gt;F25,"f&gt;i","f&lt;i")</f>
        <v>f&lt;i</v>
      </c>
      <c r="N25" s="46">
        <f t="shared" si="4"/>
        <v>14.54166543381038</v>
      </c>
      <c r="O25" s="59">
        <f t="shared" si="7"/>
        <v>18.166648426408006</v>
      </c>
      <c r="P25" s="37">
        <f t="shared" si="9"/>
        <v>14.54166543381038</v>
      </c>
      <c r="Q25" s="13">
        <f>$M$9+$P$24+$M$8*LN(($M$9+$M$8)/($P$24+$M$8))</f>
        <v>5.101919506193724</v>
      </c>
      <c r="R25" s="13">
        <f aca="true" t="shared" si="12" ref="R25:BA25">$M$9+$P$24+$M$8*LN((Q25+$M$8)/($P$24+$M$8))</f>
        <v>8.319752907425716</v>
      </c>
      <c r="S25" s="13">
        <f t="shared" si="12"/>
        <v>10.683573538500179</v>
      </c>
      <c r="T25" s="13">
        <f t="shared" si="12"/>
        <v>12.245646938052394</v>
      </c>
      <c r="U25" s="13">
        <f t="shared" si="12"/>
        <v>13.209882740211476</v>
      </c>
      <c r="V25" s="13">
        <f t="shared" si="12"/>
        <v>13.780910351155818</v>
      </c>
      <c r="W25" s="13">
        <f t="shared" si="12"/>
        <v>14.110941307977301</v>
      </c>
      <c r="X25" s="13">
        <f t="shared" si="12"/>
        <v>14.299032305444312</v>
      </c>
      <c r="Y25" s="13">
        <f t="shared" si="12"/>
        <v>14.405378722109925</v>
      </c>
      <c r="Z25" s="13">
        <f t="shared" si="12"/>
        <v>14.4652371284366</v>
      </c>
      <c r="AA25" s="13">
        <f t="shared" si="12"/>
        <v>14.498844095027597</v>
      </c>
      <c r="AB25" s="13">
        <f t="shared" si="12"/>
        <v>14.517685671121653</v>
      </c>
      <c r="AC25" s="13">
        <f t="shared" si="12"/>
        <v>14.528240707493467</v>
      </c>
      <c r="AD25" s="13">
        <f t="shared" si="12"/>
        <v>14.534150997205787</v>
      </c>
      <c r="AE25" s="13">
        <f t="shared" si="12"/>
        <v>14.537459636937106</v>
      </c>
      <c r="AF25" s="13">
        <f t="shared" si="12"/>
        <v>14.539311588197984</v>
      </c>
      <c r="AG25" s="13">
        <f t="shared" si="12"/>
        <v>14.54034810342049</v>
      </c>
      <c r="AH25" s="13">
        <f t="shared" si="12"/>
        <v>14.540928203360524</v>
      </c>
      <c r="AI25" s="13">
        <f t="shared" si="12"/>
        <v>14.541252856289471</v>
      </c>
      <c r="AJ25" s="13">
        <f t="shared" si="12"/>
        <v>14.541434545810644</v>
      </c>
      <c r="AK25" s="13">
        <f t="shared" si="12"/>
        <v>14.54153622617779</v>
      </c>
      <c r="AL25" s="13">
        <f t="shared" si="12"/>
        <v>14.541593130134801</v>
      </c>
      <c r="AM25" s="13">
        <f t="shared" si="12"/>
        <v>14.541624975540552</v>
      </c>
      <c r="AN25" s="13">
        <f t="shared" si="12"/>
        <v>14.541642797297733</v>
      </c>
      <c r="AO25" s="13">
        <f t="shared" si="12"/>
        <v>14.541652770943303</v>
      </c>
      <c r="AP25" s="13">
        <f t="shared" si="12"/>
        <v>14.541658352523346</v>
      </c>
      <c r="AQ25" s="13">
        <f t="shared" si="12"/>
        <v>14.54166147615835</v>
      </c>
      <c r="AR25" s="13">
        <f t="shared" si="12"/>
        <v>14.541663224246575</v>
      </c>
      <c r="AS25" s="13">
        <f t="shared" si="12"/>
        <v>14.541664202533797</v>
      </c>
      <c r="AT25">
        <f t="shared" si="12"/>
        <v>14.541664750015233</v>
      </c>
      <c r="AU25">
        <f t="shared" si="12"/>
        <v>14.541665056403696</v>
      </c>
      <c r="AV25">
        <f t="shared" si="12"/>
        <v>14.541665227868666</v>
      </c>
      <c r="AW25">
        <f t="shared" si="12"/>
        <v>14.541665323826052</v>
      </c>
      <c r="AX25">
        <f t="shared" si="12"/>
        <v>14.54166537752693</v>
      </c>
      <c r="AY25">
        <f t="shared" si="12"/>
        <v>14.541665407579691</v>
      </c>
      <c r="AZ25">
        <f t="shared" si="12"/>
        <v>14.541665424398197</v>
      </c>
      <c r="BA25">
        <f t="shared" si="12"/>
        <v>14.54166543381038</v>
      </c>
    </row>
    <row r="26" spans="4:53" ht="12.75">
      <c r="D26" s="20">
        <v>70</v>
      </c>
      <c r="E26" s="29">
        <v>7.1</v>
      </c>
      <c r="F26" s="30">
        <f t="shared" si="1"/>
        <v>42.599999999999994</v>
      </c>
      <c r="H26" s="46">
        <f t="shared" si="5"/>
        <v>23.5</v>
      </c>
      <c r="I26" s="30">
        <f t="shared" si="2"/>
        <v>14.291063829787234</v>
      </c>
      <c r="J26" s="48" t="str">
        <f t="shared" si="6"/>
        <v>f&lt;i</v>
      </c>
      <c r="K26" s="61">
        <f t="shared" si="8"/>
        <v>17.41883681523313</v>
      </c>
      <c r="L26" s="62">
        <f t="shared" si="3"/>
        <v>16.487363511592857</v>
      </c>
      <c r="M26" s="48" t="str">
        <f t="shared" si="11"/>
        <v>f&lt;i</v>
      </c>
      <c r="N26" s="46">
        <f t="shared" si="4"/>
        <v>17.41883681523313</v>
      </c>
      <c r="O26" s="59">
        <f t="shared" si="7"/>
        <v>16.487363511592857</v>
      </c>
      <c r="P26" s="37">
        <f t="shared" si="9"/>
        <v>17.41883681523313</v>
      </c>
      <c r="Q26" s="13">
        <f>$M$9+$P$25+$M$8*LN(($M$9+$M$8)/($P$25+$M$8))</f>
        <v>6.435252834259691</v>
      </c>
      <c r="R26" s="13">
        <f aca="true" t="shared" si="13" ref="R26:BA26">$M$9+$P$25+$M$8*LN((Q26+$M$8)/($P$25+$M$8))</f>
        <v>10.669484087455777</v>
      </c>
      <c r="S26" s="13">
        <f t="shared" si="13"/>
        <v>13.570050085779078</v>
      </c>
      <c r="T26" s="13">
        <f t="shared" si="13"/>
        <v>15.323091197285727</v>
      </c>
      <c r="U26" s="13">
        <f t="shared" si="13"/>
        <v>16.30721602039287</v>
      </c>
      <c r="V26" s="13">
        <f t="shared" si="13"/>
        <v>16.837549695737135</v>
      </c>
      <c r="W26" s="13">
        <f t="shared" si="13"/>
        <v>17.117152749253155</v>
      </c>
      <c r="X26" s="13">
        <f t="shared" si="13"/>
        <v>17.262879686724403</v>
      </c>
      <c r="Y26" s="13">
        <f t="shared" si="13"/>
        <v>17.338378322153265</v>
      </c>
      <c r="Z26" s="13">
        <f t="shared" si="13"/>
        <v>17.37737191559204</v>
      </c>
      <c r="AA26" s="13">
        <f t="shared" si="13"/>
        <v>17.397479181311603</v>
      </c>
      <c r="AB26" s="13">
        <f t="shared" si="13"/>
        <v>17.407839062862816</v>
      </c>
      <c r="AC26" s="13">
        <f t="shared" si="13"/>
        <v>17.41317452620585</v>
      </c>
      <c r="AD26" s="13">
        <f t="shared" si="13"/>
        <v>17.415921753023383</v>
      </c>
      <c r="AE26" s="13">
        <f t="shared" si="13"/>
        <v>17.417336139169585</v>
      </c>
      <c r="AF26" s="13">
        <f t="shared" si="13"/>
        <v>17.418064281525915</v>
      </c>
      <c r="AG26" s="13">
        <f t="shared" si="13"/>
        <v>17.418439126450984</v>
      </c>
      <c r="AH26" s="13">
        <f t="shared" si="13"/>
        <v>17.41863209223306</v>
      </c>
      <c r="AI26" s="13">
        <f t="shared" si="13"/>
        <v>17.41873142797454</v>
      </c>
      <c r="AJ26" s="13">
        <f t="shared" si="13"/>
        <v>17.41878256423951</v>
      </c>
      <c r="AK26" s="13">
        <f t="shared" si="13"/>
        <v>17.418808888219942</v>
      </c>
      <c r="AL26" s="13">
        <f t="shared" si="13"/>
        <v>17.41882243929174</v>
      </c>
      <c r="AM26" s="13">
        <f t="shared" si="13"/>
        <v>17.41882941511538</v>
      </c>
      <c r="AN26" s="13">
        <f t="shared" si="13"/>
        <v>17.41883300613034</v>
      </c>
      <c r="AO26" s="13">
        <f t="shared" si="13"/>
        <v>17.418834854712983</v>
      </c>
      <c r="AP26" s="13">
        <f t="shared" si="13"/>
        <v>17.41883580632627</v>
      </c>
      <c r="AQ26" s="13">
        <f t="shared" si="13"/>
        <v>17.418836296197696</v>
      </c>
      <c r="AR26" s="13">
        <f t="shared" si="13"/>
        <v>17.41883654837367</v>
      </c>
      <c r="AS26" s="13">
        <f t="shared" si="13"/>
        <v>17.41883667818879</v>
      </c>
      <c r="AT26">
        <f t="shared" si="13"/>
        <v>17.418836745015003</v>
      </c>
      <c r="AU26">
        <f t="shared" si="13"/>
        <v>17.4188367794158</v>
      </c>
      <c r="AV26">
        <f t="shared" si="13"/>
        <v>17.418836797124637</v>
      </c>
      <c r="AW26">
        <f t="shared" si="13"/>
        <v>17.418836806240794</v>
      </c>
      <c r="AX26">
        <f t="shared" si="13"/>
        <v>17.418836810933605</v>
      </c>
      <c r="AY26">
        <f t="shared" si="13"/>
        <v>17.41883681334937</v>
      </c>
      <c r="AZ26">
        <f t="shared" si="13"/>
        <v>17.418836814592957</v>
      </c>
      <c r="BA26">
        <f t="shared" si="13"/>
        <v>17.41883681523313</v>
      </c>
    </row>
    <row r="27" spans="4:53" ht="12.75">
      <c r="D27" s="20">
        <v>80</v>
      </c>
      <c r="E27" s="29">
        <v>5.6</v>
      </c>
      <c r="F27" s="30">
        <f t="shared" si="1"/>
        <v>33.599999999999994</v>
      </c>
      <c r="H27" s="46">
        <f t="shared" si="5"/>
        <v>29.1</v>
      </c>
      <c r="I27" s="30">
        <f t="shared" si="2"/>
        <v>13.08041237113402</v>
      </c>
      <c r="J27" s="48" t="str">
        <f t="shared" si="6"/>
        <v>f&lt;i</v>
      </c>
      <c r="K27" s="61">
        <f t="shared" si="8"/>
        <v>20.06787255146994</v>
      </c>
      <c r="L27" s="62">
        <f t="shared" si="3"/>
        <v>15.366999148555532</v>
      </c>
      <c r="M27" s="48" t="str">
        <f t="shared" si="11"/>
        <v>f&lt;i</v>
      </c>
      <c r="N27" s="46">
        <f t="shared" si="4"/>
        <v>20.06787255146994</v>
      </c>
      <c r="O27" s="59">
        <f t="shared" si="7"/>
        <v>15.366999148555532</v>
      </c>
      <c r="P27" s="37">
        <f t="shared" si="9"/>
        <v>20.06787255146994</v>
      </c>
      <c r="Q27" s="13">
        <f>$M$9+$P$26+$M$8*LN(($M$9+$M$8)/($P$26+$M$8))</f>
        <v>7.768586167263473</v>
      </c>
      <c r="R27" s="13">
        <f aca="true" t="shared" si="14" ref="R27:BA27">$M$9+$P$26+$M$8*LN((Q27+$M$8)/($P$26+$M$8))</f>
        <v>12.966215814645885</v>
      </c>
      <c r="S27" s="13">
        <f t="shared" si="14"/>
        <v>16.304933192135408</v>
      </c>
      <c r="T27" s="13">
        <f t="shared" si="14"/>
        <v>18.16967028293126</v>
      </c>
      <c r="U27" s="13">
        <f t="shared" si="14"/>
        <v>19.13469760415006</v>
      </c>
      <c r="V27" s="13">
        <f t="shared" si="14"/>
        <v>19.615000858195224</v>
      </c>
      <c r="W27" s="13">
        <f t="shared" si="14"/>
        <v>19.84947869640911</v>
      </c>
      <c r="X27" s="13">
        <f t="shared" si="14"/>
        <v>19.962875976229277</v>
      </c>
      <c r="Y27" s="13">
        <f t="shared" si="14"/>
        <v>20.017468108097393</v>
      </c>
      <c r="Z27" s="13">
        <f t="shared" si="14"/>
        <v>20.043692653314384</v>
      </c>
      <c r="AA27" s="13">
        <f t="shared" si="14"/>
        <v>20.056276977142975</v>
      </c>
      <c r="AB27" s="13">
        <f t="shared" si="14"/>
        <v>20.06231275181392</v>
      </c>
      <c r="AC27" s="13">
        <f t="shared" si="14"/>
        <v>20.06520696969049</v>
      </c>
      <c r="AD27" s="13">
        <f t="shared" si="14"/>
        <v>20.06659461704449</v>
      </c>
      <c r="AE27" s="13">
        <f t="shared" si="14"/>
        <v>20.067259894611674</v>
      </c>
      <c r="AF27" s="13">
        <f t="shared" si="14"/>
        <v>20.067578839085776</v>
      </c>
      <c r="AG27" s="13">
        <f t="shared" si="14"/>
        <v>20.067731744104535</v>
      </c>
      <c r="AH27" s="13">
        <f t="shared" si="14"/>
        <v>20.067805047778272</v>
      </c>
      <c r="AI27" s="13">
        <f t="shared" si="14"/>
        <v>20.06784018993946</v>
      </c>
      <c r="AJ27" s="13">
        <f t="shared" si="14"/>
        <v>20.06785703725002</v>
      </c>
      <c r="AK27" s="13">
        <f t="shared" si="14"/>
        <v>20.067865113921226</v>
      </c>
      <c r="AL27" s="13">
        <f t="shared" si="14"/>
        <v>20.06786898590996</v>
      </c>
      <c r="AM27" s="13">
        <f t="shared" si="14"/>
        <v>20.06787084215668</v>
      </c>
      <c r="AN27" s="13">
        <f t="shared" si="14"/>
        <v>20.06787173204864</v>
      </c>
      <c r="AO27" s="13">
        <f t="shared" si="14"/>
        <v>20.067872158666322</v>
      </c>
      <c r="AP27" s="13">
        <f t="shared" si="14"/>
        <v>20.0678723631885</v>
      </c>
      <c r="AQ27" s="13">
        <f t="shared" si="14"/>
        <v>20.067872461237226</v>
      </c>
      <c r="AR27" s="13">
        <f t="shared" si="14"/>
        <v>20.067872508242168</v>
      </c>
      <c r="AS27" s="13">
        <f t="shared" si="14"/>
        <v>20.06787253077652</v>
      </c>
      <c r="AT27">
        <f t="shared" si="14"/>
        <v>20.067872541579572</v>
      </c>
      <c r="AU27">
        <f t="shared" si="14"/>
        <v>20.0678725467586</v>
      </c>
      <c r="AV27">
        <f t="shared" si="14"/>
        <v>20.067872549241446</v>
      </c>
      <c r="AW27">
        <f t="shared" si="14"/>
        <v>20.06787255043173</v>
      </c>
      <c r="AX27">
        <f t="shared" si="14"/>
        <v>20.067872551002363</v>
      </c>
      <c r="AY27">
        <f t="shared" si="14"/>
        <v>20.067872551275926</v>
      </c>
      <c r="AZ27">
        <f t="shared" si="14"/>
        <v>20.06787255140707</v>
      </c>
      <c r="BA27">
        <f t="shared" si="14"/>
        <v>20.06787255146994</v>
      </c>
    </row>
    <row r="28" spans="4:53" ht="12.75">
      <c r="D28" s="20">
        <v>90</v>
      </c>
      <c r="E28" s="29">
        <v>4</v>
      </c>
      <c r="F28" s="30">
        <f t="shared" si="1"/>
        <v>24</v>
      </c>
      <c r="H28" s="46">
        <f t="shared" si="5"/>
        <v>33.1</v>
      </c>
      <c r="I28" s="30">
        <f t="shared" si="2"/>
        <v>12.466465256797584</v>
      </c>
      <c r="J28" s="48" t="str">
        <f t="shared" si="6"/>
        <v>f&lt;i</v>
      </c>
      <c r="K28" s="61">
        <f t="shared" si="8"/>
        <v>22.558015828646337</v>
      </c>
      <c r="L28" s="62">
        <f t="shared" si="3"/>
        <v>14.553767898870722</v>
      </c>
      <c r="M28" s="48" t="str">
        <f t="shared" si="11"/>
        <v>f&lt;i</v>
      </c>
      <c r="N28" s="46">
        <f t="shared" si="4"/>
        <v>22.558015828646337</v>
      </c>
      <c r="O28" s="59">
        <f t="shared" si="7"/>
        <v>14.553767898870722</v>
      </c>
      <c r="P28" s="37">
        <f t="shared" si="9"/>
        <v>22.558015828646337</v>
      </c>
      <c r="Q28" s="13">
        <f>$M$9+$P$27+$M$8*LN(($M$9+$M$8)/($P$27+$M$8))</f>
        <v>9.101919500566664</v>
      </c>
      <c r="R28" s="13">
        <f aca="true" t="shared" si="15" ref="R28:BA28">$M$9+$P$27+$M$8*LN((Q28+$M$8)/($P$27+$M$8))</f>
        <v>15.215202474955206</v>
      </c>
      <c r="S28" s="13">
        <f t="shared" si="15"/>
        <v>18.914806073702913</v>
      </c>
      <c r="T28" s="13">
        <f t="shared" si="15"/>
        <v>20.83998506441369</v>
      </c>
      <c r="U28" s="13">
        <f t="shared" si="15"/>
        <v>21.767701312766032</v>
      </c>
      <c r="V28" s="13">
        <f t="shared" si="15"/>
        <v>22.198654479595696</v>
      </c>
      <c r="W28" s="13">
        <f t="shared" si="15"/>
        <v>22.39547762153222</v>
      </c>
      <c r="X28" s="13">
        <f t="shared" si="15"/>
        <v>22.48467723977673</v>
      </c>
      <c r="Y28" s="13">
        <f t="shared" si="15"/>
        <v>22.52496087806377</v>
      </c>
      <c r="Z28" s="13">
        <f t="shared" si="15"/>
        <v>22.543124718055505</v>
      </c>
      <c r="AA28" s="13">
        <f t="shared" si="15"/>
        <v>22.551308933646894</v>
      </c>
      <c r="AB28" s="13">
        <f t="shared" si="15"/>
        <v>22.554995371975682</v>
      </c>
      <c r="AC28" s="13">
        <f t="shared" si="15"/>
        <v>22.556655624156846</v>
      </c>
      <c r="AD28" s="13">
        <f t="shared" si="15"/>
        <v>22.557403299144248</v>
      </c>
      <c r="AE28" s="13">
        <f t="shared" si="15"/>
        <v>22.55773999587763</v>
      </c>
      <c r="AF28" s="13">
        <f t="shared" si="15"/>
        <v>22.55789161682846</v>
      </c>
      <c r="AG28" s="13">
        <f t="shared" si="15"/>
        <v>22.557959894223742</v>
      </c>
      <c r="AH28" s="13">
        <f t="shared" si="15"/>
        <v>22.557990640569756</v>
      </c>
      <c r="AI28" s="13">
        <f t="shared" si="15"/>
        <v>22.558004486098696</v>
      </c>
      <c r="AJ28" s="13">
        <f t="shared" si="15"/>
        <v>22.558010720939333</v>
      </c>
      <c r="AK28" s="13">
        <f t="shared" si="15"/>
        <v>22.558013528576975</v>
      </c>
      <c r="AL28" s="13">
        <f t="shared" si="15"/>
        <v>22.558014792896103</v>
      </c>
      <c r="AM28" s="13">
        <f t="shared" si="15"/>
        <v>22.558015362236944</v>
      </c>
      <c r="AN28" s="13">
        <f t="shared" si="15"/>
        <v>22.558015618619194</v>
      </c>
      <c r="AO28" s="13">
        <f t="shared" si="15"/>
        <v>22.558015734071756</v>
      </c>
      <c r="AP28" s="13">
        <f t="shared" si="15"/>
        <v>22.558015786061677</v>
      </c>
      <c r="AQ28" s="13">
        <f t="shared" si="15"/>
        <v>22.55801580947348</v>
      </c>
      <c r="AR28" s="13">
        <f t="shared" si="15"/>
        <v>22.558015820016145</v>
      </c>
      <c r="AS28" s="13">
        <f t="shared" si="15"/>
        <v>22.558015824763654</v>
      </c>
      <c r="AT28">
        <f t="shared" si="15"/>
        <v>22.558015826901528</v>
      </c>
      <c r="AU28">
        <f t="shared" si="15"/>
        <v>22.558015827864242</v>
      </c>
      <c r="AV28">
        <f t="shared" si="15"/>
        <v>22.558015828297766</v>
      </c>
      <c r="AW28">
        <f t="shared" si="15"/>
        <v>22.55801582849299</v>
      </c>
      <c r="AX28">
        <f t="shared" si="15"/>
        <v>22.5580158285809</v>
      </c>
      <c r="AY28">
        <f t="shared" si="15"/>
        <v>22.558015828620483</v>
      </c>
      <c r="AZ28">
        <f t="shared" si="15"/>
        <v>22.55801582863831</v>
      </c>
      <c r="BA28">
        <f t="shared" si="15"/>
        <v>22.558015828646337</v>
      </c>
    </row>
    <row r="29" spans="4:53" ht="12.75">
      <c r="D29" s="20">
        <v>100</v>
      </c>
      <c r="E29" s="29">
        <v>2.1</v>
      </c>
      <c r="F29" s="30">
        <f t="shared" si="1"/>
        <v>12.600000000000001</v>
      </c>
      <c r="H29" s="46">
        <f t="shared" si="5"/>
        <v>35.2</v>
      </c>
      <c r="I29" s="30">
        <f t="shared" si="2"/>
        <v>12.2</v>
      </c>
      <c r="J29" s="48" t="str">
        <f t="shared" si="6"/>
        <v>f&lt;i</v>
      </c>
      <c r="K29" s="61">
        <f t="shared" si="8"/>
        <v>24.929579331718706</v>
      </c>
      <c r="L29" s="62">
        <f t="shared" si="3"/>
        <v>13.93030464063621</v>
      </c>
      <c r="M29" s="56" t="str">
        <f t="shared" si="11"/>
        <v>f&gt;i</v>
      </c>
      <c r="N29" s="46">
        <f>E29+N28</f>
        <v>24.658015828646338</v>
      </c>
      <c r="O29" s="59">
        <f t="shared" si="7"/>
        <v>13.93030464063621</v>
      </c>
      <c r="P29" s="37">
        <f t="shared" si="9"/>
        <v>24.929579331718706</v>
      </c>
      <c r="Q29" s="13">
        <f>$M$9+$P$28+$M$8*LN(($M$9+$M$8)/($P$28+$M$8))</f>
        <v>10.435252833896381</v>
      </c>
      <c r="R29" s="13">
        <f aca="true" t="shared" si="16" ref="R29:BA29">$M$9+$P$28+$M$8*LN((Q29+$M$8)/($P$28+$M$8))</f>
        <v>17.420953843011382</v>
      </c>
      <c r="S29" s="13">
        <f t="shared" si="16"/>
        <v>21.419926586436713</v>
      </c>
      <c r="T29" s="13">
        <f t="shared" si="16"/>
        <v>23.371610832407434</v>
      </c>
      <c r="U29" s="13">
        <f t="shared" si="16"/>
        <v>24.25413806923433</v>
      </c>
      <c r="V29" s="13">
        <f t="shared" si="16"/>
        <v>24.639775020639277</v>
      </c>
      <c r="W29" s="13">
        <f t="shared" si="16"/>
        <v>24.805792352519568</v>
      </c>
      <c r="X29" s="13">
        <f t="shared" si="16"/>
        <v>24.876806389271596</v>
      </c>
      <c r="Y29" s="13">
        <f t="shared" si="16"/>
        <v>24.907099564040173</v>
      </c>
      <c r="Z29" s="13">
        <f t="shared" si="16"/>
        <v>24.92000693514202</v>
      </c>
      <c r="AA29" s="13">
        <f t="shared" si="16"/>
        <v>24.925503793588913</v>
      </c>
      <c r="AB29" s="13">
        <f t="shared" si="16"/>
        <v>24.927844242792695</v>
      </c>
      <c r="AC29" s="13">
        <f t="shared" si="16"/>
        <v>24.928840667934097</v>
      </c>
      <c r="AD29" s="13">
        <f t="shared" si="16"/>
        <v>24.92926487064658</v>
      </c>
      <c r="AE29" s="13">
        <f t="shared" si="16"/>
        <v>24.92944546122911</v>
      </c>
      <c r="AF29" s="13">
        <f t="shared" si="16"/>
        <v>24.92952234129223</v>
      </c>
      <c r="AG29" s="13">
        <f t="shared" si="16"/>
        <v>24.929555070167094</v>
      </c>
      <c r="AH29" s="13">
        <f t="shared" si="16"/>
        <v>24.929569003270867</v>
      </c>
      <c r="AI29" s="13">
        <f t="shared" si="16"/>
        <v>24.929574934769494</v>
      </c>
      <c r="AJ29" s="13">
        <f t="shared" si="16"/>
        <v>24.92957745988296</v>
      </c>
      <c r="AK29" s="13">
        <f t="shared" si="16"/>
        <v>24.929578534855374</v>
      </c>
      <c r="AL29" s="13">
        <f t="shared" si="16"/>
        <v>24.92957899248456</v>
      </c>
      <c r="AM29" s="13">
        <f t="shared" si="16"/>
        <v>24.929579187303027</v>
      </c>
      <c r="AN29" s="13">
        <f t="shared" si="16"/>
        <v>24.929579270239678</v>
      </c>
      <c r="AO29" s="13">
        <f t="shared" si="16"/>
        <v>24.92957930554685</v>
      </c>
      <c r="AP29" s="13">
        <f t="shared" si="16"/>
        <v>24.929579320577552</v>
      </c>
      <c r="AQ29" s="13">
        <f t="shared" si="16"/>
        <v>24.929579326976313</v>
      </c>
      <c r="AR29" s="13">
        <f t="shared" si="16"/>
        <v>24.929579329700346</v>
      </c>
      <c r="AS29" s="13">
        <f t="shared" si="16"/>
        <v>24.92957933086</v>
      </c>
      <c r="AT29">
        <f t="shared" si="16"/>
        <v>24.929579331353676</v>
      </c>
      <c r="AU29">
        <f t="shared" si="16"/>
        <v>24.929579331563843</v>
      </c>
      <c r="AV29">
        <f t="shared" si="16"/>
        <v>24.92957933165331</v>
      </c>
      <c r="AW29">
        <f t="shared" si="16"/>
        <v>24.9295793316914</v>
      </c>
      <c r="AX29">
        <f t="shared" si="16"/>
        <v>24.929579331707618</v>
      </c>
      <c r="AY29">
        <f t="shared" si="16"/>
        <v>24.929579331714518</v>
      </c>
      <c r="AZ29">
        <f t="shared" si="16"/>
        <v>24.929579331717456</v>
      </c>
      <c r="BA29">
        <f t="shared" si="16"/>
        <v>24.929579331718706</v>
      </c>
    </row>
    <row r="30" spans="4:15" ht="12.75">
      <c r="D30" s="20">
        <v>110</v>
      </c>
      <c r="E30" s="29">
        <v>1.6</v>
      </c>
      <c r="F30" s="30">
        <f t="shared" si="1"/>
        <v>9.600000000000001</v>
      </c>
      <c r="H30" s="46">
        <f t="shared" si="5"/>
        <v>36.800000000000004</v>
      </c>
      <c r="I30" s="30">
        <f t="shared" si="2"/>
        <v>12.017391304347825</v>
      </c>
      <c r="J30" s="47" t="str">
        <f t="shared" si="6"/>
        <v>f&gt;i</v>
      </c>
      <c r="K30" s="46">
        <f t="shared" si="8"/>
        <v>26.529579331718708</v>
      </c>
      <c r="L30" s="55">
        <f t="shared" si="3"/>
        <v>12.017391304347825</v>
      </c>
      <c r="M30" s="54" t="str">
        <f t="shared" si="11"/>
        <v>f&gt;i</v>
      </c>
      <c r="N30" s="46">
        <f>E30+N29</f>
        <v>26.25801582864634</v>
      </c>
      <c r="O30" s="59">
        <f t="shared" si="7"/>
        <v>13.630280709889476</v>
      </c>
    </row>
    <row r="31" spans="4:29" ht="12.75">
      <c r="D31" s="20">
        <v>120</v>
      </c>
      <c r="E31" s="29">
        <v>0.6</v>
      </c>
      <c r="F31" s="30">
        <f t="shared" si="1"/>
        <v>3.5999999999999996</v>
      </c>
      <c r="H31" s="49">
        <f t="shared" si="5"/>
        <v>37.400000000000006</v>
      </c>
      <c r="I31" s="50">
        <f t="shared" si="2"/>
        <v>11.952941176470588</v>
      </c>
      <c r="J31" s="51" t="str">
        <f t="shared" si="6"/>
        <v>f&gt;i</v>
      </c>
      <c r="K31" s="49">
        <f t="shared" si="8"/>
        <v>27.12957933171871</v>
      </c>
      <c r="L31" s="57">
        <f t="shared" si="3"/>
        <v>11.952941176470588</v>
      </c>
      <c r="M31" s="58" t="str">
        <f t="shared" si="11"/>
        <v>f&gt;i</v>
      </c>
      <c r="N31" s="49">
        <f>E31+N30</f>
        <v>26.85801582864634</v>
      </c>
      <c r="O31" s="60">
        <f t="shared" si="7"/>
        <v>13.504501931312296</v>
      </c>
      <c r="P31" s="4"/>
      <c r="Q31" s="5"/>
      <c r="R31" s="5"/>
      <c r="S31" s="5"/>
      <c r="T31" s="6"/>
      <c r="U31" s="5"/>
      <c r="V31" s="4"/>
      <c r="W31" s="5"/>
      <c r="X31" s="3"/>
      <c r="Y31" s="7"/>
      <c r="Z31" s="8"/>
      <c r="AA31" s="9"/>
      <c r="AB31" s="9"/>
      <c r="AC31" s="9"/>
    </row>
    <row r="32" spans="5:29" ht="12.75">
      <c r="E32" s="1"/>
      <c r="F32" s="2"/>
      <c r="P32" s="4"/>
      <c r="Q32" s="5"/>
      <c r="R32" s="5"/>
      <c r="S32" s="5"/>
      <c r="T32" s="6"/>
      <c r="U32" s="5"/>
      <c r="V32" s="4"/>
      <c r="W32" s="5"/>
      <c r="X32" s="3"/>
      <c r="Y32" s="7"/>
      <c r="Z32" s="8"/>
      <c r="AA32" s="9"/>
      <c r="AB32" s="9"/>
      <c r="AC32" s="9"/>
    </row>
    <row r="33" spans="16:29" ht="12.75">
      <c r="P33" s="4"/>
      <c r="Q33" s="5"/>
      <c r="R33" s="5"/>
      <c r="S33" s="5"/>
      <c r="T33" s="6"/>
      <c r="U33" s="5"/>
      <c r="V33" s="4"/>
      <c r="W33" s="5"/>
      <c r="X33" s="3"/>
      <c r="Y33" s="7"/>
      <c r="Z33" s="8"/>
      <c r="AA33" s="9"/>
      <c r="AB33" s="9"/>
      <c r="AC33" s="9"/>
    </row>
    <row r="34" spans="4:29" ht="12.75">
      <c r="D34" s="63" t="s">
        <v>38</v>
      </c>
      <c r="E34" s="65">
        <f>SUM(E19:E31)</f>
        <v>37.400000000000006</v>
      </c>
      <c r="F34" s="31" t="s">
        <v>21</v>
      </c>
      <c r="M34" s="63" t="s">
        <v>39</v>
      </c>
      <c r="N34" s="64">
        <f>N31</f>
        <v>26.85801582864634</v>
      </c>
      <c r="O34" s="20" t="s">
        <v>21</v>
      </c>
      <c r="P34" s="4"/>
      <c r="Q34" s="5"/>
      <c r="R34" s="5"/>
      <c r="S34" s="5"/>
      <c r="T34" s="6"/>
      <c r="U34" s="5"/>
      <c r="V34" s="4"/>
      <c r="W34" s="5"/>
      <c r="X34" s="3"/>
      <c r="Y34" s="7"/>
      <c r="Z34" s="8"/>
      <c r="AA34" s="9"/>
      <c r="AB34" s="9"/>
      <c r="AC34" s="9"/>
    </row>
    <row r="35" spans="13:29" ht="12.75">
      <c r="M35" s="63" t="s">
        <v>40</v>
      </c>
      <c r="N35" s="64">
        <f>E34-N34</f>
        <v>10.541984171353665</v>
      </c>
      <c r="O35" s="20" t="s">
        <v>21</v>
      </c>
      <c r="P35" s="7"/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6:29" ht="12.75"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3:29" ht="12.75">
      <c r="M37" s="63" t="s">
        <v>41</v>
      </c>
      <c r="N37" s="66">
        <f>N35/E34</f>
        <v>0.2818712345281728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6:29" ht="12.75"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</sheetData>
  <mergeCells count="5">
    <mergeCell ref="Q21:S21"/>
    <mergeCell ref="H14:O14"/>
    <mergeCell ref="H15:J15"/>
    <mergeCell ref="K15:M15"/>
    <mergeCell ref="N15:O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51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8" max="9" width="10.140625" style="0" customWidth="1"/>
  </cols>
  <sheetData>
    <row r="3" ht="18">
      <c r="B3" s="75" t="s">
        <v>57</v>
      </c>
    </row>
    <row r="7" spans="4:10" ht="38.25">
      <c r="D7" s="34" t="s">
        <v>0</v>
      </c>
      <c r="E7" s="34" t="s">
        <v>1</v>
      </c>
      <c r="G7" s="35" t="s">
        <v>2</v>
      </c>
      <c r="I7" s="38" t="s">
        <v>34</v>
      </c>
      <c r="J7" s="40" t="s">
        <v>31</v>
      </c>
    </row>
    <row r="8" spans="4:10" ht="12.75">
      <c r="D8" s="31" t="s">
        <v>23</v>
      </c>
      <c r="E8" s="31" t="s">
        <v>21</v>
      </c>
      <c r="G8" s="32" t="s">
        <v>20</v>
      </c>
      <c r="I8" s="41" t="s">
        <v>21</v>
      </c>
      <c r="J8" s="42" t="s">
        <v>20</v>
      </c>
    </row>
    <row r="9" spans="4:10" ht="12.75">
      <c r="D9" s="20"/>
      <c r="E9" s="20"/>
      <c r="G9" s="26"/>
      <c r="I9" s="52"/>
      <c r="J9" s="44"/>
    </row>
    <row r="10" spans="4:11" ht="12.75">
      <c r="D10" s="20">
        <v>0</v>
      </c>
      <c r="E10" s="20">
        <v>0</v>
      </c>
      <c r="F10">
        <f>E10</f>
        <v>0</v>
      </c>
      <c r="G10" s="26">
        <v>0</v>
      </c>
      <c r="I10" s="46">
        <v>0</v>
      </c>
      <c r="J10" s="54" t="s">
        <v>8</v>
      </c>
      <c r="K10" s="70">
        <f>F10-I10</f>
        <v>0</v>
      </c>
    </row>
    <row r="11" spans="4:11" ht="12.75">
      <c r="D11" s="20">
        <v>10</v>
      </c>
      <c r="E11" s="29">
        <v>0.5</v>
      </c>
      <c r="F11" s="70">
        <f>F10+E11</f>
        <v>0.5</v>
      </c>
      <c r="G11" s="30">
        <v>3</v>
      </c>
      <c r="I11" s="46">
        <v>0.5</v>
      </c>
      <c r="J11" s="59">
        <v>303.68</v>
      </c>
      <c r="K11" s="70">
        <f aca="true" t="shared" si="0" ref="K11:K22">F11-I11</f>
        <v>0</v>
      </c>
    </row>
    <row r="12" spans="4:11" ht="12.75">
      <c r="D12" s="20">
        <v>20</v>
      </c>
      <c r="E12" s="29">
        <v>1.6</v>
      </c>
      <c r="F12" s="70">
        <f aca="true" t="shared" si="1" ref="F12:F22">F11+E12</f>
        <v>2.1</v>
      </c>
      <c r="G12" s="30">
        <v>9.6</v>
      </c>
      <c r="I12" s="46">
        <v>2.1</v>
      </c>
      <c r="J12" s="59">
        <v>78.4</v>
      </c>
      <c r="K12" s="70">
        <f t="shared" si="0"/>
        <v>0</v>
      </c>
    </row>
    <row r="13" spans="4:11" ht="12.75">
      <c r="D13" s="20">
        <v>30</v>
      </c>
      <c r="E13" s="29">
        <v>2.3</v>
      </c>
      <c r="F13" s="70">
        <f t="shared" si="1"/>
        <v>4.4</v>
      </c>
      <c r="G13" s="30">
        <v>13.8</v>
      </c>
      <c r="I13" s="46">
        <v>4.4</v>
      </c>
      <c r="J13" s="59">
        <v>41.6</v>
      </c>
      <c r="K13" s="70">
        <f t="shared" si="0"/>
        <v>0</v>
      </c>
    </row>
    <row r="14" spans="4:11" ht="12.75">
      <c r="D14" s="20">
        <v>40</v>
      </c>
      <c r="E14" s="29">
        <v>2.9</v>
      </c>
      <c r="F14" s="70">
        <f t="shared" si="1"/>
        <v>7.300000000000001</v>
      </c>
      <c r="G14" s="30">
        <v>17.4</v>
      </c>
      <c r="I14" s="46">
        <v>7.3</v>
      </c>
      <c r="J14" s="59">
        <v>28.252054794520546</v>
      </c>
      <c r="K14" s="70">
        <f t="shared" si="0"/>
        <v>0</v>
      </c>
    </row>
    <row r="15" spans="4:11" ht="12.75">
      <c r="D15" s="20">
        <v>50</v>
      </c>
      <c r="E15" s="29">
        <v>4.2</v>
      </c>
      <c r="F15" s="70">
        <f t="shared" si="1"/>
        <v>11.5</v>
      </c>
      <c r="G15" s="30">
        <v>25.2</v>
      </c>
      <c r="I15" s="46">
        <v>11.296974236499924</v>
      </c>
      <c r="J15" s="59">
        <v>21.0866900202655</v>
      </c>
      <c r="K15" s="70">
        <f t="shared" si="0"/>
        <v>0.20302576350007584</v>
      </c>
    </row>
    <row r="16" spans="4:11" ht="12.75">
      <c r="D16" s="20">
        <v>60</v>
      </c>
      <c r="E16" s="29">
        <v>4.9</v>
      </c>
      <c r="F16" s="70">
        <f t="shared" si="1"/>
        <v>16.4</v>
      </c>
      <c r="G16" s="30">
        <v>29.4</v>
      </c>
      <c r="I16" s="46">
        <v>14.54166543381038</v>
      </c>
      <c r="J16" s="59">
        <v>18.166648426408006</v>
      </c>
      <c r="K16" s="70">
        <f t="shared" si="0"/>
        <v>1.858334566189619</v>
      </c>
    </row>
    <row r="17" spans="4:11" ht="12.75">
      <c r="D17" s="20">
        <v>70</v>
      </c>
      <c r="E17" s="29">
        <v>7.1</v>
      </c>
      <c r="F17" s="70">
        <f t="shared" si="1"/>
        <v>23.5</v>
      </c>
      <c r="G17" s="30">
        <v>42.6</v>
      </c>
      <c r="I17" s="46">
        <v>17.41883681523313</v>
      </c>
      <c r="J17" s="59">
        <v>16.487363511592857</v>
      </c>
      <c r="K17" s="70">
        <f t="shared" si="0"/>
        <v>6.081163184766869</v>
      </c>
    </row>
    <row r="18" spans="4:11" ht="12.75">
      <c r="D18" s="20">
        <v>80</v>
      </c>
      <c r="E18" s="29">
        <v>5.6</v>
      </c>
      <c r="F18" s="70">
        <f t="shared" si="1"/>
        <v>29.1</v>
      </c>
      <c r="G18" s="30">
        <v>33.6</v>
      </c>
      <c r="I18" s="46">
        <v>20.06787255146994</v>
      </c>
      <c r="J18" s="59">
        <v>15.366999148555532</v>
      </c>
      <c r="K18" s="70">
        <f t="shared" si="0"/>
        <v>9.032127448530062</v>
      </c>
    </row>
    <row r="19" spans="4:11" ht="12.75">
      <c r="D19" s="20">
        <v>90</v>
      </c>
      <c r="E19" s="29">
        <v>4</v>
      </c>
      <c r="F19" s="70">
        <f t="shared" si="1"/>
        <v>33.1</v>
      </c>
      <c r="G19" s="30">
        <v>24</v>
      </c>
      <c r="I19" s="46">
        <v>22.558015828646337</v>
      </c>
      <c r="J19" s="59">
        <v>14.553767898870722</v>
      </c>
      <c r="K19" s="70">
        <f t="shared" si="0"/>
        <v>10.541984171353665</v>
      </c>
    </row>
    <row r="20" spans="4:11" ht="12.75">
      <c r="D20" s="20">
        <v>100</v>
      </c>
      <c r="E20" s="29">
        <v>2.1</v>
      </c>
      <c r="F20" s="70">
        <f t="shared" si="1"/>
        <v>35.2</v>
      </c>
      <c r="G20" s="30">
        <v>12.6</v>
      </c>
      <c r="I20" s="46">
        <v>24.658015828646338</v>
      </c>
      <c r="J20" s="59">
        <v>13.93030464063621</v>
      </c>
      <c r="K20" s="70">
        <f t="shared" si="0"/>
        <v>10.541984171353665</v>
      </c>
    </row>
    <row r="21" spans="4:11" ht="12.75">
      <c r="D21" s="20">
        <v>110</v>
      </c>
      <c r="E21" s="29">
        <v>1.6</v>
      </c>
      <c r="F21" s="70">
        <f t="shared" si="1"/>
        <v>36.800000000000004</v>
      </c>
      <c r="G21" s="30">
        <v>9.6</v>
      </c>
      <c r="I21" s="46">
        <v>26.25801582864634</v>
      </c>
      <c r="J21" s="59">
        <v>13.630280709889476</v>
      </c>
      <c r="K21" s="70">
        <f t="shared" si="0"/>
        <v>10.541984171353665</v>
      </c>
    </row>
    <row r="22" spans="4:11" ht="12.75">
      <c r="D22" s="20">
        <v>120</v>
      </c>
      <c r="E22" s="29">
        <v>0.6</v>
      </c>
      <c r="F22" s="70">
        <f t="shared" si="1"/>
        <v>37.400000000000006</v>
      </c>
      <c r="G22" s="30">
        <v>3.6</v>
      </c>
      <c r="I22" s="49">
        <v>26.85801582864634</v>
      </c>
      <c r="J22" s="60">
        <v>13.504501931312296</v>
      </c>
      <c r="K22" s="70">
        <f t="shared" si="0"/>
        <v>10.541984171353665</v>
      </c>
    </row>
    <row r="25" spans="4:6" ht="12.75">
      <c r="D25" s="2" t="s">
        <v>0</v>
      </c>
      <c r="E25" s="2" t="s">
        <v>46</v>
      </c>
      <c r="F25" t="s">
        <v>45</v>
      </c>
    </row>
    <row r="26" spans="5:6" ht="12.75">
      <c r="E26" t="s">
        <v>21</v>
      </c>
      <c r="F26" t="s">
        <v>21</v>
      </c>
    </row>
    <row r="27" spans="4:6" ht="12.75">
      <c r="D27" s="2">
        <v>0</v>
      </c>
      <c r="E27" s="2">
        <v>3</v>
      </c>
      <c r="F27" s="67">
        <v>0.5</v>
      </c>
    </row>
    <row r="28" spans="4:6" ht="12.75">
      <c r="D28" s="2">
        <v>10</v>
      </c>
      <c r="E28" s="2">
        <v>3</v>
      </c>
      <c r="F28" s="67">
        <v>0.5</v>
      </c>
    </row>
    <row r="29" spans="4:6" ht="12.75">
      <c r="D29" s="2">
        <v>10</v>
      </c>
      <c r="E29" s="2">
        <v>9.6</v>
      </c>
      <c r="F29" s="68">
        <v>2.1</v>
      </c>
    </row>
    <row r="30" spans="4:6" ht="12.75">
      <c r="D30" s="2">
        <v>20</v>
      </c>
      <c r="E30" s="2">
        <v>9.6</v>
      </c>
      <c r="F30" s="68">
        <v>2.1</v>
      </c>
    </row>
    <row r="31" spans="4:6" ht="12.75">
      <c r="D31" s="2">
        <v>20</v>
      </c>
      <c r="E31" s="2">
        <v>13.8</v>
      </c>
      <c r="F31" s="68">
        <v>4.4</v>
      </c>
    </row>
    <row r="32" spans="4:6" ht="12.75">
      <c r="D32" s="2">
        <v>30</v>
      </c>
      <c r="E32" s="2">
        <v>13.8</v>
      </c>
      <c r="F32" s="68">
        <v>4.4</v>
      </c>
    </row>
    <row r="33" spans="4:6" ht="12.75">
      <c r="D33" s="2">
        <v>30</v>
      </c>
      <c r="E33" s="2">
        <v>17.4</v>
      </c>
      <c r="F33" s="68">
        <v>7.3</v>
      </c>
    </row>
    <row r="34" spans="4:6" ht="12.75">
      <c r="D34" s="2">
        <v>40</v>
      </c>
      <c r="E34" s="2">
        <v>17.4</v>
      </c>
      <c r="F34" s="68">
        <v>7.3</v>
      </c>
    </row>
    <row r="35" spans="4:6" ht="12.75">
      <c r="D35" s="2">
        <v>40</v>
      </c>
      <c r="E35" s="2">
        <v>25.2</v>
      </c>
      <c r="F35" s="68">
        <v>11.296974236499924</v>
      </c>
    </row>
    <row r="36" spans="4:6" ht="12.75">
      <c r="D36" s="2">
        <v>50</v>
      </c>
      <c r="E36" s="2">
        <v>25.2</v>
      </c>
      <c r="F36" s="68">
        <v>11.296974236499924</v>
      </c>
    </row>
    <row r="37" spans="4:6" ht="12.75">
      <c r="D37" s="2">
        <v>50</v>
      </c>
      <c r="E37" s="2">
        <v>29.4</v>
      </c>
      <c r="F37" s="68">
        <v>14.54166543381038</v>
      </c>
    </row>
    <row r="38" spans="4:6" ht="12.75">
      <c r="D38" s="2">
        <v>60</v>
      </c>
      <c r="E38" s="2">
        <v>29.4</v>
      </c>
      <c r="F38" s="68">
        <v>14.54166543381038</v>
      </c>
    </row>
    <row r="39" spans="4:6" ht="12.75">
      <c r="D39" s="2">
        <v>60</v>
      </c>
      <c r="E39" s="2">
        <v>42.6</v>
      </c>
      <c r="F39" s="68">
        <v>17.41883681523313</v>
      </c>
    </row>
    <row r="40" spans="4:6" ht="12.75">
      <c r="D40" s="2">
        <v>70</v>
      </c>
      <c r="E40" s="2">
        <v>42.6</v>
      </c>
      <c r="F40" s="68">
        <v>17.41883681523313</v>
      </c>
    </row>
    <row r="41" spans="4:6" ht="12.75">
      <c r="D41" s="2">
        <v>70</v>
      </c>
      <c r="E41" s="2">
        <v>33.6</v>
      </c>
      <c r="F41" s="68">
        <v>20.06787255146994</v>
      </c>
    </row>
    <row r="42" spans="4:6" ht="12.75">
      <c r="D42" s="2">
        <v>80</v>
      </c>
      <c r="E42" s="2">
        <v>33.6</v>
      </c>
      <c r="F42" s="68">
        <v>20.06787255146994</v>
      </c>
    </row>
    <row r="43" spans="4:6" ht="12.75">
      <c r="D43" s="2">
        <v>80</v>
      </c>
      <c r="E43" s="2">
        <v>24</v>
      </c>
      <c r="F43" s="68">
        <v>22.558015828646337</v>
      </c>
    </row>
    <row r="44" spans="4:6" ht="12.75">
      <c r="D44" s="2">
        <v>90</v>
      </c>
      <c r="E44" s="2">
        <v>24</v>
      </c>
      <c r="F44" s="68">
        <v>22.558015828646337</v>
      </c>
    </row>
    <row r="45" spans="4:6" ht="12.75">
      <c r="D45" s="2">
        <v>90</v>
      </c>
      <c r="E45" s="2">
        <v>12.6</v>
      </c>
      <c r="F45" s="68">
        <v>24.658015828646338</v>
      </c>
    </row>
    <row r="46" spans="4:6" ht="12.75">
      <c r="D46" s="2">
        <v>100</v>
      </c>
      <c r="E46" s="2">
        <v>12.6</v>
      </c>
      <c r="F46" s="68">
        <v>24.658015828646338</v>
      </c>
    </row>
    <row r="47" spans="4:6" ht="12.75">
      <c r="D47" s="2">
        <v>100</v>
      </c>
      <c r="E47" s="2">
        <v>9.6</v>
      </c>
      <c r="F47" s="68">
        <v>26.25801582864634</v>
      </c>
    </row>
    <row r="48" spans="4:6" ht="12.75">
      <c r="D48" s="2">
        <v>110</v>
      </c>
      <c r="E48" s="2">
        <v>9.6</v>
      </c>
      <c r="F48" s="68">
        <v>26.25801582864634</v>
      </c>
    </row>
    <row r="49" spans="4:6" ht="12.75">
      <c r="D49" s="2">
        <v>110</v>
      </c>
      <c r="E49" s="2">
        <v>3.6</v>
      </c>
      <c r="F49" s="69">
        <v>26.85801582864634</v>
      </c>
    </row>
    <row r="50" spans="4:6" ht="12.75">
      <c r="D50" s="2">
        <v>120</v>
      </c>
      <c r="E50" s="2">
        <v>3.6</v>
      </c>
      <c r="F50" s="69">
        <v>26.85801582864634</v>
      </c>
    </row>
    <row r="51" spans="4:5" ht="12.75">
      <c r="D51" s="2">
        <v>120</v>
      </c>
      <c r="E51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Hydram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cecile</dc:creator>
  <cp:keywords/>
  <dc:description/>
  <cp:lastModifiedBy>cecile</cp:lastModifiedBy>
  <dcterms:created xsi:type="dcterms:W3CDTF">2002-02-14T08:51:45Z</dcterms:created>
  <dcterms:modified xsi:type="dcterms:W3CDTF">2003-06-20T11:44:33Z</dcterms:modified>
  <cp:category/>
  <cp:version/>
  <cp:contentType/>
  <cp:contentStatus/>
</cp:coreProperties>
</file>