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nformations" sheetId="1" r:id="rId1"/>
    <sheet name="données" sheetId="2" r:id="rId2"/>
    <sheet name="Onde cinématique (n=0.02)" sheetId="3" r:id="rId3"/>
    <sheet name="Onde cinématique (n=0.05)" sheetId="4" r:id="rId4"/>
    <sheet name="Onde cinématique (n=0.08)" sheetId="5" r:id="rId5"/>
  </sheets>
  <definedNames>
    <definedName name="solver_adj" localSheetId="2" hidden="1">'Onde cinématique (n=0.02)'!$V$9</definedName>
    <definedName name="solver_adj" localSheetId="3" hidden="1">'Onde cinématique (n=0.05)'!$V$8</definedName>
    <definedName name="solver_adj" localSheetId="4" hidden="1">'Onde cinématique (n=0.08)'!$V$15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lhs1" localSheetId="2" hidden="1">'Onde cinématique (n=0.02)'!$S$9</definedName>
    <definedName name="solver_lhs1" localSheetId="3" hidden="1">'Onde cinématique (n=0.05)'!$U$8</definedName>
    <definedName name="solver_lhs1" localSheetId="4" hidden="1">'Onde cinématique (n=0.08)'!$U$14</definedName>
    <definedName name="solver_lhs2" localSheetId="4" hidden="1">'Onde cinématique (n=0.08)'!$S$15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um" localSheetId="2" hidden="1">1</definedName>
    <definedName name="solver_num" localSheetId="3" hidden="1">1</definedName>
    <definedName name="solver_num" localSheetId="4" hidden="1">2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2" hidden="1">'Onde cinématique (n=0.02)'!$V$9</definedName>
    <definedName name="solver_opt" localSheetId="3" hidden="1">'Onde cinématique (n=0.05)'!$V$8</definedName>
    <definedName name="solver_opt" localSheetId="4" hidden="1">'Onde cinématique (n=0.08)'!$V$15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rel1" localSheetId="2" hidden="1">2</definedName>
    <definedName name="solver_rel1" localSheetId="3" hidden="1">2</definedName>
    <definedName name="solver_rel1" localSheetId="4" hidden="1">2</definedName>
    <definedName name="solver_rel2" localSheetId="4" hidden="1">2</definedName>
    <definedName name="solver_rhs1" localSheetId="2" hidden="1">'Onde cinématique (n=0.02)'!$U$9</definedName>
    <definedName name="solver_rhs1" localSheetId="3" hidden="1">'Onde cinématique (n=0.05)'!$S$8</definedName>
    <definedName name="solver_rhs1" localSheetId="4" hidden="1">'Onde cinématique (n=0.08)'!$S$14</definedName>
    <definedName name="solver_rhs2" localSheetId="4" hidden="1">'Onde cinématique (n=0.08)'!$U$15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<sst xmlns="http://schemas.openxmlformats.org/spreadsheetml/2006/main" count="196" uniqueCount="52">
  <si>
    <t>Rappel  des caractéristiques du canal :</t>
  </si>
  <si>
    <t>[m]</t>
  </si>
  <si>
    <t>[s/m1/3]</t>
  </si>
  <si>
    <t>pente =</t>
  </si>
  <si>
    <t>[-]</t>
  </si>
  <si>
    <t>largeur B =</t>
  </si>
  <si>
    <t>Longueur L =</t>
  </si>
  <si>
    <t>Rappel  des caractéristiques de la crue :</t>
  </si>
  <si>
    <t>temps</t>
  </si>
  <si>
    <t>[min]</t>
  </si>
  <si>
    <t>[m3/s]</t>
  </si>
  <si>
    <t xml:space="preserve">débit entrant </t>
  </si>
  <si>
    <t xml:space="preserve">Coefficient de Manning n = </t>
  </si>
  <si>
    <t xml:space="preserve">Rayon hydraulique = </t>
  </si>
  <si>
    <t xml:space="preserve">H écoulement uniforme= </t>
  </si>
  <si>
    <t xml:space="preserve">Vitesse écoulement uniforme = </t>
  </si>
  <si>
    <t>[m/s]</t>
  </si>
  <si>
    <t xml:space="preserve">Débit écoulement uniforme = </t>
  </si>
  <si>
    <r>
      <t xml:space="preserve">  i</t>
    </r>
    <r>
      <rPr>
        <sz val="10"/>
        <color indexed="10"/>
        <rFont val="Arial"/>
        <family val="0"/>
      </rPr>
      <t xml:space="preserve"> Vérification de l'hypothèsse d'application des ondes cinématiques :</t>
    </r>
  </si>
  <si>
    <t xml:space="preserve">&gt;10 </t>
  </si>
  <si>
    <t>Ok!</t>
  </si>
  <si>
    <t>[s]</t>
  </si>
  <si>
    <t xml:space="preserve">temps départ </t>
  </si>
  <si>
    <t>Hauteur normale</t>
  </si>
  <si>
    <t>Célérité ck</t>
  </si>
  <si>
    <r>
      <t xml:space="preserve">Temps de parcours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t</t>
    </r>
  </si>
  <si>
    <t>Temps d'arivée</t>
  </si>
  <si>
    <t>débit Arrivée</t>
  </si>
  <si>
    <t>débit Départ</t>
  </si>
  <si>
    <t>débit simulé</t>
  </si>
  <si>
    <t>H ok</t>
  </si>
  <si>
    <t>Temps Qmax</t>
  </si>
  <si>
    <t>Q= U*S</t>
  </si>
  <si>
    <t>H OK</t>
  </si>
  <si>
    <t>Information</t>
  </si>
  <si>
    <t>feuille</t>
  </si>
  <si>
    <t>données</t>
  </si>
  <si>
    <t>données de l'exercice</t>
  </si>
  <si>
    <t>cellule contenant ou devant contenir une formule</t>
  </si>
  <si>
    <t>cellule dont la valeur est à spécifier par l'utilisateur</t>
  </si>
  <si>
    <t>cellule dont la valeur est donnée par le solveur!!</t>
  </si>
  <si>
    <t>Onde cinématique (n=0.02)</t>
  </si>
  <si>
    <t>Acheminement de la crue  avec les ondes cinématiques pour n=0.02</t>
  </si>
  <si>
    <t xml:space="preserve">Qo écoulemnt uniforme= </t>
  </si>
  <si>
    <t>Onde cinématique (n=0.05)</t>
  </si>
  <si>
    <t>Onde cinématique (n=0.08)</t>
  </si>
  <si>
    <t>Acheminement de la crue  avec les ondes cinématiques pour n=0.05</t>
  </si>
  <si>
    <t>Acheminement de la crue  avec les ondes cinématiques pour n=0.08</t>
  </si>
  <si>
    <t>Données</t>
  </si>
  <si>
    <t>Acheminement de la crue avec les ondes cinématiques (n=0.02)</t>
  </si>
  <si>
    <t>Acheminement de la crue avec les ondes cinématiques (n=0.05)</t>
  </si>
  <si>
    <t>Acheminement de la crue avec les ondes cinématiques (n=0.08)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</si>
</sst>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Webdings"/>
      <family val="1"/>
    </font>
    <font>
      <sz val="10"/>
      <color indexed="10"/>
      <name val="Arial"/>
      <family val="0"/>
    </font>
    <font>
      <b/>
      <sz val="10"/>
      <name val="Symbol"/>
      <family val="1"/>
    </font>
    <font>
      <sz val="8"/>
      <name val="Arial"/>
      <family val="0"/>
    </font>
    <font>
      <b/>
      <sz val="10.25"/>
      <name val="Arial"/>
      <family val="0"/>
    </font>
    <font>
      <b/>
      <sz val="8"/>
      <name val="Arial"/>
      <family val="0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72" fontId="0" fillId="3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175" fontId="1" fillId="2" borderId="0" xfId="0" applyNumberFormat="1" applyFont="1" applyFill="1" applyAlignment="1">
      <alignment horizontal="center"/>
    </xf>
    <xf numFmtId="175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72" fontId="1" fillId="2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Hydrogrammes entrant et acheminé (n=0.02)</a:t>
            </a:r>
          </a:p>
        </c:rich>
      </c:tx>
      <c:layout>
        <c:manualLayout>
          <c:xMode val="factor"/>
          <c:yMode val="factor"/>
          <c:x val="0.022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975"/>
          <c:w val="0.86825"/>
          <c:h val="0.7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'Onde cinématique (n=0.02)'!$P$6:$P$7</c:f>
              <c:strCache>
                <c:ptCount val="1"/>
                <c:pt idx="0">
                  <c:v>débit Arrivée [m3/s]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 cinématique (n=0.02)'!$O$8:$O$16</c:f>
              <c:numCache>
                <c:ptCount val="9"/>
                <c:pt idx="0">
                  <c:v>842.1141757630661</c:v>
                </c:pt>
                <c:pt idx="1">
                  <c:v>1078.677713443355</c:v>
                </c:pt>
                <c:pt idx="2">
                  <c:v>1351.4240891105987</c:v>
                </c:pt>
                <c:pt idx="3">
                  <c:v>1636.711544820435</c:v>
                </c:pt>
                <c:pt idx="4">
                  <c:v>1927.5470784983618</c:v>
                </c:pt>
                <c:pt idx="5">
                  <c:v>2221.4737475375123</c:v>
                </c:pt>
                <c:pt idx="6">
                  <c:v>2533.1646324157036</c:v>
                </c:pt>
                <c:pt idx="7">
                  <c:v>2858.5922300512907</c:v>
                </c:pt>
                <c:pt idx="8">
                  <c:v>3242.114175763066</c:v>
                </c:pt>
              </c:numCache>
            </c:numRef>
          </c:xVal>
          <c:yVal>
            <c:numRef>
              <c:f>'Onde cinématique (n=0.02)'!$P$8:$P$16</c:f>
              <c:numCache>
                <c:ptCount val="9"/>
                <c:pt idx="0">
                  <c:v>4.8</c:v>
                </c:pt>
                <c:pt idx="1">
                  <c:v>8.44</c:v>
                </c:pt>
                <c:pt idx="2">
                  <c:v>12.079999999999998</c:v>
                </c:pt>
                <c:pt idx="3">
                  <c:v>15.719999999999999</c:v>
                </c:pt>
                <c:pt idx="4">
                  <c:v>19.36</c:v>
                </c:pt>
                <c:pt idx="5">
                  <c:v>23</c:v>
                </c:pt>
                <c:pt idx="6">
                  <c:v>16.933333333333334</c:v>
                </c:pt>
                <c:pt idx="7">
                  <c:v>10.866666666666667</c:v>
                </c:pt>
                <c:pt idx="8">
                  <c:v>4.8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'Onde cinématique (n=0.02)'!$K$6:$K$7</c:f>
              <c:strCache>
                <c:ptCount val="1"/>
                <c:pt idx="0">
                  <c:v>débit Départ [m3/s]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 cinématique (n=0.02)'!$J$8:$J$16</c:f>
              <c:numCache>
                <c:ptCount val="9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</c:numCache>
            </c:numRef>
          </c:xVal>
          <c:yVal>
            <c:numRef>
              <c:f>'Onde cinématique (n=0.02)'!$K$8:$K$16</c:f>
              <c:numCache>
                <c:ptCount val="9"/>
                <c:pt idx="0">
                  <c:v>4.8</c:v>
                </c:pt>
                <c:pt idx="1">
                  <c:v>8.44</c:v>
                </c:pt>
                <c:pt idx="2">
                  <c:v>12.079999999999998</c:v>
                </c:pt>
                <c:pt idx="3">
                  <c:v>15.719999999999999</c:v>
                </c:pt>
                <c:pt idx="4">
                  <c:v>19.36</c:v>
                </c:pt>
                <c:pt idx="5">
                  <c:v>23</c:v>
                </c:pt>
                <c:pt idx="6">
                  <c:v>16.933333333333334</c:v>
                </c:pt>
                <c:pt idx="7">
                  <c:v>10.866666666666667</c:v>
                </c:pt>
                <c:pt idx="8">
                  <c:v>4.8</c:v>
                </c:pt>
              </c:numCache>
            </c:numRef>
          </c:yVal>
          <c:smooth val="0"/>
        </c:ser>
        <c:axId val="31310495"/>
        <c:axId val="13359000"/>
      </c:scatterChart>
      <c:valAx>
        <c:axId val="31310495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Temps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59000"/>
        <c:crosses val="autoZero"/>
        <c:crossBetween val="midCat"/>
        <c:dispUnits/>
      </c:valAx>
      <c:valAx>
        <c:axId val="1335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1310495"/>
        <c:crosses val="autoZero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9825"/>
          <c:y val="0.90725"/>
          <c:w val="0.86225"/>
          <c:h val="0.06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Hydrogrammes entrant et acheminé (n=0.05)</a:t>
            </a:r>
          </a:p>
        </c:rich>
      </c:tx>
      <c:layout>
        <c:manualLayout>
          <c:xMode val="factor"/>
          <c:yMode val="factor"/>
          <c:x val="0.022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0325"/>
          <c:w val="0.87725"/>
          <c:h val="0.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'Onde cinématique (n=0.05)'!$P$6:$P$7</c:f>
              <c:strCache>
                <c:ptCount val="1"/>
                <c:pt idx="0">
                  <c:v>débit Arrivée [m3/s]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 cinématique (n=0.05)'!$O$8:$O$16</c:f>
              <c:numCache>
                <c:ptCount val="9"/>
                <c:pt idx="0">
                  <c:v>1879.4290573157523</c:v>
                </c:pt>
                <c:pt idx="1">
                  <c:v>2110.890126914126</c:v>
                </c:pt>
                <c:pt idx="2">
                  <c:v>2385.394699878</c:v>
                </c:pt>
                <c:pt idx="3">
                  <c:v>2672.916945174934</c:v>
                </c:pt>
                <c:pt idx="4">
                  <c:v>2965.8356996157363</c:v>
                </c:pt>
                <c:pt idx="5">
                  <c:v>3261.4171092670704</c:v>
                </c:pt>
                <c:pt idx="6">
                  <c:v>3570.1421642688983</c:v>
                </c:pt>
                <c:pt idx="7">
                  <c:v>3891.7742933101476</c:v>
                </c:pt>
                <c:pt idx="8">
                  <c:v>4279.429057315752</c:v>
                </c:pt>
              </c:numCache>
            </c:numRef>
          </c:xVal>
          <c:yVal>
            <c:numRef>
              <c:f>'Onde cinématique (n=0.05)'!$P$8:$P$16</c:f>
              <c:numCache>
                <c:ptCount val="9"/>
                <c:pt idx="0">
                  <c:v>4.8</c:v>
                </c:pt>
                <c:pt idx="1">
                  <c:v>8.44</c:v>
                </c:pt>
                <c:pt idx="2">
                  <c:v>12.079999999999998</c:v>
                </c:pt>
                <c:pt idx="3">
                  <c:v>15.719999999999999</c:v>
                </c:pt>
                <c:pt idx="4">
                  <c:v>19.36</c:v>
                </c:pt>
                <c:pt idx="5">
                  <c:v>23</c:v>
                </c:pt>
                <c:pt idx="6">
                  <c:v>16.933333333333334</c:v>
                </c:pt>
                <c:pt idx="7">
                  <c:v>10.866666666666667</c:v>
                </c:pt>
                <c:pt idx="8">
                  <c:v>4.8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'Onde cinématique (n=0.05)'!$K$6:$K$7</c:f>
              <c:strCache>
                <c:ptCount val="1"/>
                <c:pt idx="0">
                  <c:v>débit Départ [m3/s]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 cinématique (n=0.05)'!$J$8:$J$16</c:f>
              <c:numCache>
                <c:ptCount val="9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</c:numCache>
            </c:numRef>
          </c:xVal>
          <c:yVal>
            <c:numRef>
              <c:f>'Onde cinématique (n=0.05)'!$K$8:$K$16</c:f>
              <c:numCache>
                <c:ptCount val="9"/>
                <c:pt idx="0">
                  <c:v>4.8</c:v>
                </c:pt>
                <c:pt idx="1">
                  <c:v>8.44</c:v>
                </c:pt>
                <c:pt idx="2">
                  <c:v>12.079999999999998</c:v>
                </c:pt>
                <c:pt idx="3">
                  <c:v>15.719999999999999</c:v>
                </c:pt>
                <c:pt idx="4">
                  <c:v>19.36</c:v>
                </c:pt>
                <c:pt idx="5">
                  <c:v>23</c:v>
                </c:pt>
                <c:pt idx="6">
                  <c:v>16.933333333333334</c:v>
                </c:pt>
                <c:pt idx="7">
                  <c:v>10.866666666666667</c:v>
                </c:pt>
                <c:pt idx="8">
                  <c:v>4.8</c:v>
                </c:pt>
              </c:numCache>
            </c:numRef>
          </c:yVal>
          <c:smooth val="0"/>
        </c:ser>
        <c:axId val="53122137"/>
        <c:axId val="8337186"/>
      </c:scatterChart>
      <c:valAx>
        <c:axId val="53122137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Temps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37186"/>
        <c:crosses val="autoZero"/>
        <c:crossBetween val="midCat"/>
        <c:dispUnits/>
      </c:valAx>
      <c:valAx>
        <c:axId val="8337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3122137"/>
        <c:crosses val="autoZero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0225"/>
          <c:y val="0.90725"/>
          <c:w val="0.8625"/>
          <c:h val="0.06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Hydrogrammes entrant et acheminé (n=0.08)</a:t>
            </a:r>
          </a:p>
        </c:rich>
      </c:tx>
      <c:layout>
        <c:manualLayout>
          <c:xMode val="factor"/>
          <c:yMode val="factor"/>
          <c:x val="0.022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03"/>
          <c:w val="0.87425"/>
          <c:h val="0.7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'Onde cinématique (n=0.08)'!$P$6:$P$7</c:f>
              <c:strCache>
                <c:ptCount val="1"/>
                <c:pt idx="0">
                  <c:v>débit Arrivée [m3/s]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 cinématique (n=0.08)'!$O$8:$O$16</c:f>
              <c:numCache>
                <c:ptCount val="9"/>
                <c:pt idx="0">
                  <c:v>2911.4187713922975</c:v>
                </c:pt>
                <c:pt idx="1">
                  <c:v>3147.309413198184</c:v>
                </c:pt>
                <c:pt idx="2">
                  <c:v>3425.414246228087</c:v>
                </c:pt>
                <c:pt idx="3">
                  <c:v>3715.268854410779</c:v>
                </c:pt>
                <c:pt idx="4">
                  <c:v>4009.727948043033</c:v>
                </c:pt>
                <c:pt idx="5">
                  <c:v>4306.367619778772</c:v>
                </c:pt>
                <c:pt idx="6">
                  <c:v>4613.076704087035</c:v>
                </c:pt>
                <c:pt idx="7">
                  <c:v>4930.760020484842</c:v>
                </c:pt>
                <c:pt idx="8">
                  <c:v>5311.418771392296</c:v>
                </c:pt>
              </c:numCache>
            </c:numRef>
          </c:xVal>
          <c:yVal>
            <c:numRef>
              <c:f>'Onde cinématique (n=0.08)'!$P$8:$P$16</c:f>
              <c:numCache>
                <c:ptCount val="9"/>
                <c:pt idx="0">
                  <c:v>4.8</c:v>
                </c:pt>
                <c:pt idx="1">
                  <c:v>8.44</c:v>
                </c:pt>
                <c:pt idx="2">
                  <c:v>12.079999999999998</c:v>
                </c:pt>
                <c:pt idx="3">
                  <c:v>15.719999999999999</c:v>
                </c:pt>
                <c:pt idx="4">
                  <c:v>19.36</c:v>
                </c:pt>
                <c:pt idx="5">
                  <c:v>23</c:v>
                </c:pt>
                <c:pt idx="6">
                  <c:v>16.933333333333334</c:v>
                </c:pt>
                <c:pt idx="7">
                  <c:v>10.866666666666667</c:v>
                </c:pt>
                <c:pt idx="8">
                  <c:v>4.8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'Onde cinématique (n=0.08)'!$K$6:$K$7</c:f>
              <c:strCache>
                <c:ptCount val="1"/>
                <c:pt idx="0">
                  <c:v>débit Départ [m3/s]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'Onde cinématique (n=0.08)'!$J$8:$J$16</c:f>
              <c:numCache>
                <c:ptCount val="9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</c:numCache>
            </c:numRef>
          </c:xVal>
          <c:yVal>
            <c:numRef>
              <c:f>'Onde cinématique (n=0.08)'!$K$8:$K$16</c:f>
              <c:numCache>
                <c:ptCount val="9"/>
                <c:pt idx="0">
                  <c:v>4.8</c:v>
                </c:pt>
                <c:pt idx="1">
                  <c:v>8.44</c:v>
                </c:pt>
                <c:pt idx="2">
                  <c:v>12.079999999999998</c:v>
                </c:pt>
                <c:pt idx="3">
                  <c:v>15.719999999999999</c:v>
                </c:pt>
                <c:pt idx="4">
                  <c:v>19.36</c:v>
                </c:pt>
                <c:pt idx="5">
                  <c:v>23</c:v>
                </c:pt>
                <c:pt idx="6">
                  <c:v>16.933333333333334</c:v>
                </c:pt>
                <c:pt idx="7">
                  <c:v>10.866666666666667</c:v>
                </c:pt>
                <c:pt idx="8">
                  <c:v>4.8</c:v>
                </c:pt>
              </c:numCache>
            </c:numRef>
          </c:yVal>
          <c:smooth val="0"/>
        </c:ser>
        <c:axId val="7925811"/>
        <c:axId val="4223436"/>
      </c:scatterChart>
      <c:valAx>
        <c:axId val="7925811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Temps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3436"/>
        <c:crosses val="autoZero"/>
        <c:crossBetween val="midCat"/>
        <c:dispUnits/>
      </c:valAx>
      <c:valAx>
        <c:axId val="422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Débit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7925811"/>
        <c:crosses val="autoZero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9275"/>
          <c:y val="0.90725"/>
          <c:w val="0.8625"/>
          <c:h val="0.06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0.169</cdr:y>
    </cdr:from>
    <cdr:to>
      <cdr:x>0.509</cdr:x>
      <cdr:y>0.169</cdr:y>
    </cdr:to>
    <cdr:sp>
      <cdr:nvSpPr>
        <cdr:cNvPr id="1" name="Line 1"/>
        <cdr:cNvSpPr>
          <a:spLocks/>
        </cdr:cNvSpPr>
      </cdr:nvSpPr>
      <cdr:spPr>
        <a:xfrm>
          <a:off x="1571625" y="5334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0.121</cdr:y>
    </cdr:from>
    <cdr:to>
      <cdr:x>0.50725</cdr:x>
      <cdr:y>0.181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3810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 min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17</xdr:row>
      <xdr:rowOff>0</xdr:rowOff>
    </xdr:from>
    <xdr:to>
      <xdr:col>14</xdr:col>
      <xdr:colOff>600075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5295900" y="3190875"/>
        <a:ext cx="39624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295275</xdr:colOff>
      <xdr:row>5</xdr:row>
      <xdr:rowOff>9525</xdr:rowOff>
    </xdr:from>
    <xdr:to>
      <xdr:col>21</xdr:col>
      <xdr:colOff>314325</xdr:colOff>
      <xdr:row>5</xdr:row>
      <xdr:rowOff>171450</xdr:rowOff>
    </xdr:to>
    <xdr:sp>
      <xdr:nvSpPr>
        <xdr:cNvPr id="2" name="Polygon 2"/>
        <xdr:cNvSpPr>
          <a:spLocks/>
        </xdr:cNvSpPr>
      </xdr:nvSpPr>
      <xdr:spPr>
        <a:xfrm>
          <a:off x="7000875" y="914400"/>
          <a:ext cx="6477000" cy="161925"/>
        </a:xfrm>
        <a:custGeom>
          <a:pathLst>
            <a:path h="11" w="680">
              <a:moveTo>
                <a:pt x="0" y="11"/>
              </a:moveTo>
              <a:lnTo>
                <a:pt x="0" y="0"/>
              </a:lnTo>
              <a:lnTo>
                <a:pt x="680" y="0"/>
              </a:lnTo>
              <a:lnTo>
                <a:pt x="680" y="10"/>
              </a:lnTo>
            </a:path>
          </a:pathLst>
        </a:cu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0.1815</cdr:y>
    </cdr:from>
    <cdr:to>
      <cdr:x>0.6535</cdr:x>
      <cdr:y>0.1815</cdr:y>
    </cdr:to>
    <cdr:sp>
      <cdr:nvSpPr>
        <cdr:cNvPr id="1" name="Line 1"/>
        <cdr:cNvSpPr>
          <a:spLocks/>
        </cdr:cNvSpPr>
      </cdr:nvSpPr>
      <cdr:spPr>
        <a:xfrm>
          <a:off x="1619250" y="5715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0.14125</cdr:y>
    </cdr:from>
    <cdr:to>
      <cdr:x>0.5745</cdr:x>
      <cdr:y>0.20125</cdr:y>
    </cdr:to>
    <cdr:sp>
      <cdr:nvSpPr>
        <cdr:cNvPr id="2" name="TextBox 3"/>
        <cdr:cNvSpPr txBox="1">
          <a:spLocks noChangeArrowheads="1"/>
        </cdr:cNvSpPr>
      </cdr:nvSpPr>
      <cdr:spPr>
        <a:xfrm>
          <a:off x="1905000" y="44767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29 min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17</xdr:row>
      <xdr:rowOff>0</xdr:rowOff>
    </xdr:from>
    <xdr:to>
      <xdr:col>15</xdr:col>
      <xdr:colOff>180975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5486400" y="3190875"/>
        <a:ext cx="4057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295275</xdr:colOff>
      <xdr:row>5</xdr:row>
      <xdr:rowOff>9525</xdr:rowOff>
    </xdr:from>
    <xdr:to>
      <xdr:col>21</xdr:col>
      <xdr:colOff>314325</xdr:colOff>
      <xdr:row>5</xdr:row>
      <xdr:rowOff>171450</xdr:rowOff>
    </xdr:to>
    <xdr:sp>
      <xdr:nvSpPr>
        <xdr:cNvPr id="2" name="Polygon 2"/>
        <xdr:cNvSpPr>
          <a:spLocks/>
        </xdr:cNvSpPr>
      </xdr:nvSpPr>
      <xdr:spPr>
        <a:xfrm>
          <a:off x="7096125" y="914400"/>
          <a:ext cx="6477000" cy="161925"/>
        </a:xfrm>
        <a:custGeom>
          <a:pathLst>
            <a:path h="11" w="680">
              <a:moveTo>
                <a:pt x="0" y="11"/>
              </a:moveTo>
              <a:lnTo>
                <a:pt x="0" y="0"/>
              </a:lnTo>
              <a:lnTo>
                <a:pt x="680" y="0"/>
              </a:lnTo>
              <a:lnTo>
                <a:pt x="680" y="10"/>
              </a:lnTo>
            </a:path>
          </a:pathLst>
        </a:cu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</cdr:x>
      <cdr:y>0.1815</cdr:y>
    </cdr:from>
    <cdr:to>
      <cdr:x>0.82775</cdr:x>
      <cdr:y>0.1815</cdr:y>
    </cdr:to>
    <cdr:sp>
      <cdr:nvSpPr>
        <cdr:cNvPr id="1" name="Line 1"/>
        <cdr:cNvSpPr>
          <a:spLocks/>
        </cdr:cNvSpPr>
      </cdr:nvSpPr>
      <cdr:spPr>
        <a:xfrm>
          <a:off x="1571625" y="5715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0.14125</cdr:y>
    </cdr:from>
    <cdr:to>
      <cdr:x>0.64475</cdr:x>
      <cdr:y>0.20125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447675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47 min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17</xdr:row>
      <xdr:rowOff>0</xdr:rowOff>
    </xdr:from>
    <xdr:to>
      <xdr:col>15</xdr:col>
      <xdr:colOff>180975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5486400" y="3190875"/>
        <a:ext cx="4057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295275</xdr:colOff>
      <xdr:row>5</xdr:row>
      <xdr:rowOff>9525</xdr:rowOff>
    </xdr:from>
    <xdr:to>
      <xdr:col>21</xdr:col>
      <xdr:colOff>314325</xdr:colOff>
      <xdr:row>5</xdr:row>
      <xdr:rowOff>171450</xdr:rowOff>
    </xdr:to>
    <xdr:sp>
      <xdr:nvSpPr>
        <xdr:cNvPr id="2" name="Polygon 2"/>
        <xdr:cNvSpPr>
          <a:spLocks/>
        </xdr:cNvSpPr>
      </xdr:nvSpPr>
      <xdr:spPr>
        <a:xfrm>
          <a:off x="7096125" y="914400"/>
          <a:ext cx="6477000" cy="161925"/>
        </a:xfrm>
        <a:custGeom>
          <a:pathLst>
            <a:path h="11" w="680">
              <a:moveTo>
                <a:pt x="0" y="11"/>
              </a:moveTo>
              <a:lnTo>
                <a:pt x="0" y="0"/>
              </a:lnTo>
              <a:lnTo>
                <a:pt x="680" y="0"/>
              </a:lnTo>
              <a:lnTo>
                <a:pt x="680" y="10"/>
              </a:lnTo>
            </a:path>
          </a:pathLst>
        </a:cu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5:J36"/>
  <sheetViews>
    <sheetView tabSelected="1" zoomScale="75" zoomScaleNormal="75" workbookViewId="0" topLeftCell="A1">
      <selection activeCell="C59" sqref="C59"/>
    </sheetView>
  </sheetViews>
  <sheetFormatPr defaultColWidth="9.140625" defaultRowHeight="12.75"/>
  <cols>
    <col min="1" max="16384" width="11.421875" style="0" customWidth="1"/>
  </cols>
  <sheetData>
    <row r="5" ht="20.25">
      <c r="B5" s="8" t="s">
        <v>34</v>
      </c>
    </row>
    <row r="11" ht="12.75">
      <c r="C11" s="29" t="s">
        <v>35</v>
      </c>
    </row>
    <row r="14" spans="3:7" ht="12.75">
      <c r="C14" s="1" t="s">
        <v>36</v>
      </c>
      <c r="G14" s="1" t="s">
        <v>37</v>
      </c>
    </row>
    <row r="16" spans="3:10" ht="12.75">
      <c r="C16" s="1"/>
      <c r="D16" s="1"/>
      <c r="E16" s="1"/>
      <c r="F16" s="1"/>
      <c r="G16" s="1"/>
      <c r="H16" s="1"/>
      <c r="I16" s="1"/>
      <c r="J16" s="1"/>
    </row>
    <row r="17" spans="3:10" ht="12.75">
      <c r="C17" s="1"/>
      <c r="D17" s="1"/>
      <c r="E17" s="1"/>
      <c r="F17" s="1"/>
      <c r="G17" s="1"/>
      <c r="H17" s="1"/>
      <c r="I17" s="1"/>
      <c r="J17" s="1"/>
    </row>
    <row r="18" spans="3:10" ht="12.75">
      <c r="C18" s="1" t="s">
        <v>41</v>
      </c>
      <c r="D18" s="1"/>
      <c r="E18" s="1"/>
      <c r="F18" s="1"/>
      <c r="G18" s="1" t="s">
        <v>42</v>
      </c>
      <c r="H18" s="1"/>
      <c r="I18" s="1"/>
      <c r="J18" s="1"/>
    </row>
    <row r="21" spans="3:10" ht="12.75">
      <c r="C21" s="1" t="s">
        <v>44</v>
      </c>
      <c r="D21" s="1"/>
      <c r="E21" s="1"/>
      <c r="F21" s="1"/>
      <c r="G21" s="1" t="s">
        <v>46</v>
      </c>
      <c r="H21" s="1"/>
      <c r="I21" s="1"/>
      <c r="J21" s="1"/>
    </row>
    <row r="22" spans="3:7" ht="12.75">
      <c r="C22" s="1"/>
      <c r="G22" s="1"/>
    </row>
    <row r="24" spans="3:10" ht="12.75">
      <c r="C24" s="1" t="s">
        <v>45</v>
      </c>
      <c r="D24" s="1"/>
      <c r="E24" s="1"/>
      <c r="F24" s="1"/>
      <c r="G24" s="1" t="s">
        <v>47</v>
      </c>
      <c r="H24" s="1"/>
      <c r="I24" s="1"/>
      <c r="J24" s="1"/>
    </row>
    <row r="29" ht="12.75">
      <c r="C29" s="29" t="s">
        <v>35</v>
      </c>
    </row>
    <row r="32" spans="3:7" ht="12.75">
      <c r="C32" s="30"/>
      <c r="G32" s="1" t="s">
        <v>38</v>
      </c>
    </row>
    <row r="34" spans="3:7" ht="12.75">
      <c r="C34" s="31"/>
      <c r="G34" s="1" t="s">
        <v>39</v>
      </c>
    </row>
    <row r="36" spans="3:7" ht="12.75">
      <c r="C36" s="32"/>
      <c r="G36" s="1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E21"/>
  <sheetViews>
    <sheetView zoomScale="75" zoomScaleNormal="75" workbookViewId="0" topLeftCell="A1">
      <selection activeCell="K17" sqref="K17"/>
    </sheetView>
  </sheetViews>
  <sheetFormatPr defaultColWidth="9.140625" defaultRowHeight="12.75"/>
  <sheetData>
    <row r="3" ht="20.25">
      <c r="B3" s="8" t="s">
        <v>48</v>
      </c>
    </row>
    <row r="6" ht="12.75">
      <c r="C6" s="1" t="s">
        <v>0</v>
      </c>
    </row>
    <row r="8" spans="3:5" ht="12.75">
      <c r="C8" s="2" t="s">
        <v>43</v>
      </c>
      <c r="D8" s="3">
        <v>4.8</v>
      </c>
      <c r="E8" t="s">
        <v>10</v>
      </c>
    </row>
    <row r="9" spans="3:5" ht="12.75">
      <c r="C9" s="2" t="s">
        <v>6</v>
      </c>
      <c r="D9" s="3">
        <v>2100</v>
      </c>
      <c r="E9" t="s">
        <v>1</v>
      </c>
    </row>
    <row r="10" spans="3:5" ht="12.75">
      <c r="C10" s="2" t="s">
        <v>5</v>
      </c>
      <c r="D10" s="3">
        <v>2.85</v>
      </c>
      <c r="E10" t="s">
        <v>1</v>
      </c>
    </row>
    <row r="11" spans="3:5" ht="12.75">
      <c r="C11" s="2" t="s">
        <v>12</v>
      </c>
      <c r="D11" s="4">
        <v>0.02</v>
      </c>
      <c r="E11" t="s">
        <v>2</v>
      </c>
    </row>
    <row r="12" spans="3:5" ht="12.75">
      <c r="C12" s="2" t="s">
        <v>3</v>
      </c>
      <c r="D12" s="3">
        <v>0.001</v>
      </c>
      <c r="E12" t="s">
        <v>4</v>
      </c>
    </row>
    <row r="13" ht="12.75">
      <c r="C13" s="2"/>
    </row>
    <row r="15" ht="12.75">
      <c r="C15" s="1" t="s">
        <v>7</v>
      </c>
    </row>
    <row r="17" spans="3:5" ht="25.5">
      <c r="C17" s="5" t="s">
        <v>8</v>
      </c>
      <c r="D17" s="6" t="s">
        <v>11</v>
      </c>
      <c r="E17" s="6"/>
    </row>
    <row r="18" spans="3:5" ht="12.75">
      <c r="C18" s="7" t="s">
        <v>9</v>
      </c>
      <c r="D18" s="7" t="s">
        <v>10</v>
      </c>
      <c r="E18" s="7"/>
    </row>
    <row r="19" spans="3:4" ht="12.75">
      <c r="C19">
        <v>0</v>
      </c>
      <c r="D19" s="7">
        <v>4.8</v>
      </c>
    </row>
    <row r="20" spans="3:4" ht="12.75">
      <c r="C20">
        <v>25</v>
      </c>
      <c r="D20" s="7">
        <v>23</v>
      </c>
    </row>
    <row r="21" spans="3:4" ht="12.75">
      <c r="C21">
        <v>40</v>
      </c>
      <c r="D21" s="7">
        <v>4.8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C19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4" max="14" width="11.00390625" style="0" customWidth="1"/>
    <col min="20" max="20" width="9.57421875" style="0" bestFit="1" customWidth="1"/>
    <col min="21" max="21" width="12.28125" style="0" customWidth="1"/>
  </cols>
  <sheetData>
    <row r="2" ht="12.75">
      <c r="Q2" s="1" t="s">
        <v>31</v>
      </c>
    </row>
    <row r="3" spans="2:21" ht="20.25">
      <c r="B3" s="8" t="s">
        <v>49</v>
      </c>
      <c r="Q3" s="35">
        <f>O13-J13</f>
        <v>721.4737475375123</v>
      </c>
      <c r="R3" s="13" t="s">
        <v>21</v>
      </c>
      <c r="U3" s="10"/>
    </row>
    <row r="4" spans="17:21" ht="12.75">
      <c r="Q4" s="35">
        <f>Q3/60</f>
        <v>12.024562458958538</v>
      </c>
      <c r="R4" s="13" t="s">
        <v>9</v>
      </c>
      <c r="U4" s="21" t="s">
        <v>32</v>
      </c>
    </row>
    <row r="5" ht="12.75">
      <c r="D5" s="1" t="s">
        <v>0</v>
      </c>
    </row>
    <row r="6" spans="9:22" ht="38.25">
      <c r="I6" s="6" t="s">
        <v>8</v>
      </c>
      <c r="J6" s="6" t="s">
        <v>22</v>
      </c>
      <c r="K6" s="6" t="s">
        <v>28</v>
      </c>
      <c r="L6" s="6" t="s">
        <v>23</v>
      </c>
      <c r="M6" s="6" t="s">
        <v>24</v>
      </c>
      <c r="N6" s="6" t="s">
        <v>25</v>
      </c>
      <c r="O6" s="6" t="s">
        <v>26</v>
      </c>
      <c r="P6" s="6" t="s">
        <v>27</v>
      </c>
      <c r="S6" s="6" t="s">
        <v>28</v>
      </c>
      <c r="V6" s="6" t="s">
        <v>23</v>
      </c>
    </row>
    <row r="7" spans="4:29" ht="12.75">
      <c r="D7" s="2" t="s">
        <v>14</v>
      </c>
      <c r="E7" s="12">
        <v>1.35</v>
      </c>
      <c r="F7" t="s">
        <v>1</v>
      </c>
      <c r="I7" s="7" t="s">
        <v>9</v>
      </c>
      <c r="J7" s="7" t="s">
        <v>21</v>
      </c>
      <c r="K7" s="7" t="s">
        <v>10</v>
      </c>
      <c r="L7" s="7" t="s">
        <v>1</v>
      </c>
      <c r="M7" s="7" t="s">
        <v>16</v>
      </c>
      <c r="N7" s="7" t="s">
        <v>21</v>
      </c>
      <c r="O7" s="7" t="s">
        <v>21</v>
      </c>
      <c r="P7" s="7" t="s">
        <v>10</v>
      </c>
      <c r="S7" s="7" t="s">
        <v>10</v>
      </c>
      <c r="U7" t="s">
        <v>29</v>
      </c>
      <c r="V7" s="7" t="s">
        <v>1</v>
      </c>
      <c r="Y7" s="17"/>
      <c r="Z7" s="17"/>
      <c r="AA7" s="17"/>
      <c r="AB7" s="17"/>
      <c r="AC7" s="17"/>
    </row>
    <row r="8" spans="4:29" ht="12.75">
      <c r="D8" s="2" t="s">
        <v>6</v>
      </c>
      <c r="E8" s="3">
        <v>2100</v>
      </c>
      <c r="F8" t="s">
        <v>1</v>
      </c>
      <c r="I8">
        <v>0</v>
      </c>
      <c r="J8" s="7">
        <f aca="true" t="shared" si="0" ref="J8:J16">I8*60</f>
        <v>0</v>
      </c>
      <c r="K8" s="25">
        <f>E19</f>
        <v>4.8</v>
      </c>
      <c r="L8" s="7">
        <v>1.35</v>
      </c>
      <c r="M8" s="34">
        <f aca="true" t="shared" si="1" ref="M8:M16">($E$11^(1/2)*$E$9^(2/3)/$E$10)*(L8^(2/3)*(5*$E$9+6*L8)/(2*(($E$9+2*L8)^(5/3))))</f>
        <v>2.4937236071309736</v>
      </c>
      <c r="N8" s="35">
        <f aca="true" t="shared" si="2" ref="N8:N16">$E$8/M8</f>
        <v>842.1141757630661</v>
      </c>
      <c r="O8" s="36">
        <f aca="true" t="shared" si="3" ref="O8:O16">J8+N8</f>
        <v>842.1141757630661</v>
      </c>
      <c r="P8" s="11">
        <f aca="true" t="shared" si="4" ref="P8:P16">K8</f>
        <v>4.8</v>
      </c>
      <c r="S8" s="26">
        <f>E19</f>
        <v>4.8</v>
      </c>
      <c r="T8" s="7" t="s">
        <v>30</v>
      </c>
      <c r="U8" s="11">
        <f aca="true" t="shared" si="5" ref="U8:U16">(1/$E$10)*(($E$9*V8)/($E$9+2*V8))^(2/3)*$E$11^(1/2)*($E$9*V8)</f>
        <v>4.765104139626144</v>
      </c>
      <c r="V8" s="12">
        <v>1.35</v>
      </c>
      <c r="W8">
        <f aca="true" t="shared" si="6" ref="W8:W16">S8*0.1892+0.4762</f>
        <v>1.38436</v>
      </c>
      <c r="Y8" s="18"/>
      <c r="Z8" s="19"/>
      <c r="AA8" s="18"/>
      <c r="AB8" s="19"/>
      <c r="AC8" s="17"/>
    </row>
    <row r="9" spans="4:29" ht="12.75">
      <c r="D9" s="2" t="s">
        <v>5</v>
      </c>
      <c r="E9" s="3">
        <v>2.85</v>
      </c>
      <c r="F9" t="s">
        <v>1</v>
      </c>
      <c r="I9">
        <v>5</v>
      </c>
      <c r="J9" s="7">
        <f t="shared" si="0"/>
        <v>300</v>
      </c>
      <c r="K9" s="7">
        <f>K8+((K$13-K$8)/5)</f>
        <v>8.44</v>
      </c>
      <c r="L9" s="12">
        <v>2.086</v>
      </c>
      <c r="M9" s="34">
        <f t="shared" si="1"/>
        <v>2.696879548168505</v>
      </c>
      <c r="N9" s="35">
        <f t="shared" si="2"/>
        <v>778.6777134433551</v>
      </c>
      <c r="O9" s="36">
        <f t="shared" si="3"/>
        <v>1078.677713443355</v>
      </c>
      <c r="P9" s="11">
        <f t="shared" si="4"/>
        <v>8.44</v>
      </c>
      <c r="S9" s="15">
        <v>8.412083311700915</v>
      </c>
      <c r="T9" s="14" t="s">
        <v>30</v>
      </c>
      <c r="U9" s="23">
        <f>(1/$E$10)*(($E$9*V9)/($E$9+2*V9))^(2/3)*$E$11^(1/2)*($E$9*V9)</f>
        <v>8.41208331168288</v>
      </c>
      <c r="V9" s="16">
        <v>2.0859074000599973</v>
      </c>
      <c r="W9">
        <f t="shared" si="6"/>
        <v>2.0677661625738133</v>
      </c>
      <c r="Y9" s="20"/>
      <c r="Z9" s="19"/>
      <c r="AA9" s="20"/>
      <c r="AB9" s="19"/>
      <c r="AC9" s="17"/>
    </row>
    <row r="10" spans="4:29" ht="12.75">
      <c r="D10" s="2" t="s">
        <v>12</v>
      </c>
      <c r="E10" s="28">
        <v>0.02</v>
      </c>
      <c r="F10" t="s">
        <v>2</v>
      </c>
      <c r="I10">
        <v>10</v>
      </c>
      <c r="J10" s="7">
        <f t="shared" si="0"/>
        <v>600</v>
      </c>
      <c r="K10" s="7">
        <f>K9+((K$13-K$8)/5)</f>
        <v>12.079999999999998</v>
      </c>
      <c r="L10" s="12">
        <v>2.785</v>
      </c>
      <c r="M10" s="34">
        <f t="shared" si="1"/>
        <v>2.794693476603344</v>
      </c>
      <c r="N10" s="35">
        <f t="shared" si="2"/>
        <v>751.4240891105986</v>
      </c>
      <c r="O10" s="36">
        <f t="shared" si="3"/>
        <v>1351.4240891105987</v>
      </c>
      <c r="P10" s="11">
        <f t="shared" si="4"/>
        <v>12.079999999999998</v>
      </c>
      <c r="S10" s="15">
        <v>12.059062483775685</v>
      </c>
      <c r="T10" s="14" t="s">
        <v>30</v>
      </c>
      <c r="U10" s="23">
        <f t="shared" si="5"/>
        <v>12.065501441354682</v>
      </c>
      <c r="V10" s="12">
        <v>2.785</v>
      </c>
      <c r="W10">
        <f t="shared" si="6"/>
        <v>2.7577746219303596</v>
      </c>
      <c r="Y10" s="20"/>
      <c r="Z10" s="19"/>
      <c r="AA10" s="20"/>
      <c r="AB10" s="19"/>
      <c r="AC10" s="17"/>
    </row>
    <row r="11" spans="4:29" ht="12.75">
      <c r="D11" s="2" t="s">
        <v>3</v>
      </c>
      <c r="E11" s="3">
        <v>0.001</v>
      </c>
      <c r="F11" t="s">
        <v>4</v>
      </c>
      <c r="I11">
        <v>15</v>
      </c>
      <c r="J11" s="7">
        <f t="shared" si="0"/>
        <v>900</v>
      </c>
      <c r="K11" s="7">
        <f>K10+((K$13-K$8)/5)</f>
        <v>15.719999999999999</v>
      </c>
      <c r="L11" s="12">
        <v>3.46</v>
      </c>
      <c r="M11" s="34">
        <f t="shared" si="1"/>
        <v>2.8505050786354253</v>
      </c>
      <c r="N11" s="35">
        <f t="shared" si="2"/>
        <v>736.711544820435</v>
      </c>
      <c r="O11" s="36">
        <f t="shared" si="3"/>
        <v>1636.711544820435</v>
      </c>
      <c r="P11" s="11">
        <f t="shared" si="4"/>
        <v>15.719999999999999</v>
      </c>
      <c r="S11" s="15">
        <v>15.706041655850456</v>
      </c>
      <c r="T11" s="14" t="s">
        <v>30</v>
      </c>
      <c r="U11" s="23">
        <f t="shared" si="5"/>
        <v>15.68827619370134</v>
      </c>
      <c r="V11" s="12">
        <v>3.46</v>
      </c>
      <c r="W11">
        <f t="shared" si="6"/>
        <v>3.4477830812869064</v>
      </c>
      <c r="Y11" s="20"/>
      <c r="Z11" s="19"/>
      <c r="AA11" s="20"/>
      <c r="AB11" s="19"/>
      <c r="AC11" s="17"/>
    </row>
    <row r="12" spans="9:29" ht="12.75">
      <c r="I12">
        <v>20</v>
      </c>
      <c r="J12" s="7">
        <f t="shared" si="0"/>
        <v>1200</v>
      </c>
      <c r="K12" s="7">
        <f>K11+((K$13-K$8)/5)</f>
        <v>19.36</v>
      </c>
      <c r="L12" s="12">
        <v>4.132</v>
      </c>
      <c r="M12" s="34">
        <f t="shared" si="1"/>
        <v>2.8864111506493093</v>
      </c>
      <c r="N12" s="35">
        <f t="shared" si="2"/>
        <v>727.5470784983619</v>
      </c>
      <c r="O12" s="36">
        <f t="shared" si="3"/>
        <v>1927.5470784983618</v>
      </c>
      <c r="P12" s="11">
        <f t="shared" si="4"/>
        <v>19.36</v>
      </c>
      <c r="S12" s="15">
        <v>19.353020827925228</v>
      </c>
      <c r="T12" s="14" t="s">
        <v>30</v>
      </c>
      <c r="U12" s="23">
        <f t="shared" si="5"/>
        <v>19.352260323967005</v>
      </c>
      <c r="V12" s="12">
        <v>4.132</v>
      </c>
      <c r="W12">
        <f t="shared" si="6"/>
        <v>4.137791540643454</v>
      </c>
      <c r="Y12" s="20"/>
      <c r="Z12" s="19"/>
      <c r="AA12" s="20"/>
      <c r="AB12" s="19"/>
      <c r="AC12" s="17"/>
    </row>
    <row r="13" spans="9:29" ht="12.75">
      <c r="I13">
        <v>25</v>
      </c>
      <c r="J13" s="7">
        <f t="shared" si="0"/>
        <v>1500</v>
      </c>
      <c r="K13" s="3">
        <v>23</v>
      </c>
      <c r="L13" s="12">
        <v>4.795</v>
      </c>
      <c r="M13" s="34">
        <f t="shared" si="1"/>
        <v>2.9107088195067177</v>
      </c>
      <c r="N13" s="35">
        <f t="shared" si="2"/>
        <v>721.4737475375123</v>
      </c>
      <c r="O13" s="36">
        <f t="shared" si="3"/>
        <v>2221.4737475375123</v>
      </c>
      <c r="P13" s="11">
        <f t="shared" si="4"/>
        <v>23</v>
      </c>
      <c r="S13" s="26">
        <v>23</v>
      </c>
      <c r="T13" s="14" t="s">
        <v>30</v>
      </c>
      <c r="U13" s="23">
        <f t="shared" si="5"/>
        <v>23.004468479040625</v>
      </c>
      <c r="V13" s="12">
        <v>4.795</v>
      </c>
      <c r="W13">
        <f t="shared" si="6"/>
        <v>4.827800000000001</v>
      </c>
      <c r="Y13" s="20"/>
      <c r="Z13" s="19"/>
      <c r="AA13" s="20"/>
      <c r="AB13" s="19"/>
      <c r="AC13" s="17"/>
    </row>
    <row r="14" spans="4:29" ht="12.75">
      <c r="D14" s="2" t="s">
        <v>13</v>
      </c>
      <c r="E14" s="33">
        <f>(E9*E7)/(E9+2*E7)</f>
        <v>0.6932432432432433</v>
      </c>
      <c r="F14" t="s">
        <v>1</v>
      </c>
      <c r="I14">
        <v>30</v>
      </c>
      <c r="J14" s="7">
        <f t="shared" si="0"/>
        <v>1800</v>
      </c>
      <c r="K14" s="22">
        <f>K13-(K$13-K$16)/3</f>
        <v>16.933333333333334</v>
      </c>
      <c r="L14" s="12">
        <v>3.687</v>
      </c>
      <c r="M14" s="34">
        <f t="shared" si="1"/>
        <v>2.864295285331361</v>
      </c>
      <c r="N14" s="35">
        <f t="shared" si="2"/>
        <v>733.1646324157035</v>
      </c>
      <c r="O14" s="36">
        <f t="shared" si="3"/>
        <v>2533.1646324157036</v>
      </c>
      <c r="P14" s="11">
        <f t="shared" si="4"/>
        <v>16.933333333333334</v>
      </c>
      <c r="S14" s="15">
        <v>16.921701379875383</v>
      </c>
      <c r="T14" s="14" t="s">
        <v>30</v>
      </c>
      <c r="U14" s="23">
        <f t="shared" si="5"/>
        <v>16.920743411586948</v>
      </c>
      <c r="V14" s="12">
        <v>3.687</v>
      </c>
      <c r="W14">
        <f t="shared" si="6"/>
        <v>3.6777859010724225</v>
      </c>
      <c r="Y14" s="20"/>
      <c r="Z14" s="19"/>
      <c r="AA14" s="20"/>
      <c r="AB14" s="19"/>
      <c r="AC14" s="17"/>
    </row>
    <row r="15" spans="4:29" ht="12.75">
      <c r="D15" s="2" t="s">
        <v>15</v>
      </c>
      <c r="E15" s="34">
        <f>(1/E10)*E14^(2/3)*E11^(1/2)</f>
        <v>1.238493603541558</v>
      </c>
      <c r="F15" t="s">
        <v>16</v>
      </c>
      <c r="I15">
        <v>35</v>
      </c>
      <c r="J15" s="7">
        <f t="shared" si="0"/>
        <v>2100</v>
      </c>
      <c r="K15" s="22">
        <f>K14-(K$13-K$16)/3</f>
        <v>10.866666666666667</v>
      </c>
      <c r="L15" s="12">
        <v>2.5535</v>
      </c>
      <c r="M15" s="34">
        <f t="shared" si="1"/>
        <v>2.768285670231572</v>
      </c>
      <c r="N15" s="35">
        <f t="shared" si="2"/>
        <v>758.5922300512906</v>
      </c>
      <c r="O15" s="36">
        <f t="shared" si="3"/>
        <v>2858.5922300512907</v>
      </c>
      <c r="P15" s="11">
        <f t="shared" si="4"/>
        <v>10.866666666666667</v>
      </c>
      <c r="S15" s="15">
        <v>10.843402759750767</v>
      </c>
      <c r="T15" s="14" t="s">
        <v>30</v>
      </c>
      <c r="U15" s="23">
        <f t="shared" si="5"/>
        <v>10.841889316164856</v>
      </c>
      <c r="V15" s="12">
        <v>2.5535</v>
      </c>
      <c r="W15">
        <f t="shared" si="6"/>
        <v>2.527771802144845</v>
      </c>
      <c r="Y15" s="20"/>
      <c r="Z15" s="19"/>
      <c r="AA15" s="20"/>
      <c r="AB15" s="19"/>
      <c r="AC15" s="17"/>
    </row>
    <row r="16" spans="5:29" ht="14.25">
      <c r="E16" s="9" t="s">
        <v>18</v>
      </c>
      <c r="I16">
        <v>40</v>
      </c>
      <c r="J16" s="7">
        <f t="shared" si="0"/>
        <v>2400</v>
      </c>
      <c r="K16" s="25">
        <f>E19</f>
        <v>4.8</v>
      </c>
      <c r="L16" s="7">
        <v>1.35</v>
      </c>
      <c r="M16" s="34">
        <f t="shared" si="1"/>
        <v>2.4937236071309736</v>
      </c>
      <c r="N16" s="35">
        <f t="shared" si="2"/>
        <v>842.1141757630661</v>
      </c>
      <c r="O16" s="36">
        <f t="shared" si="3"/>
        <v>3242.114175763066</v>
      </c>
      <c r="P16" s="11">
        <f t="shared" si="4"/>
        <v>4.8</v>
      </c>
      <c r="S16" s="26">
        <f>E19</f>
        <v>4.8</v>
      </c>
      <c r="T16" s="7" t="s">
        <v>30</v>
      </c>
      <c r="U16" s="11">
        <f t="shared" si="5"/>
        <v>4.765104139626144</v>
      </c>
      <c r="V16" s="12">
        <v>1.35</v>
      </c>
      <c r="W16">
        <f t="shared" si="6"/>
        <v>1.38436</v>
      </c>
      <c r="Y16" s="18"/>
      <c r="Z16" s="19"/>
      <c r="AA16" s="18"/>
      <c r="AB16" s="19"/>
      <c r="AC16" s="17"/>
    </row>
    <row r="17" spans="5:29" ht="12.75">
      <c r="E17" s="10">
        <f>9.8*E8*E11/(E15*E15)</f>
        <v>13.41707460266317</v>
      </c>
      <c r="F17" s="10" t="s">
        <v>19</v>
      </c>
      <c r="G17" s="10" t="s">
        <v>20</v>
      </c>
      <c r="K17" s="7"/>
      <c r="Y17" s="17"/>
      <c r="Z17" s="17"/>
      <c r="AA17" s="17"/>
      <c r="AB17" s="17"/>
      <c r="AC17" s="17"/>
    </row>
    <row r="19" spans="4:6" ht="12.75">
      <c r="D19" s="2" t="s">
        <v>17</v>
      </c>
      <c r="E19" s="24">
        <v>4.8</v>
      </c>
      <c r="F19" t="s">
        <v>10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193176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C19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1" max="11" width="10.57421875" style="0" bestFit="1" customWidth="1"/>
    <col min="14" max="14" width="11.00390625" style="0" customWidth="1"/>
    <col min="20" max="20" width="9.57421875" style="0" bestFit="1" customWidth="1"/>
    <col min="21" max="21" width="12.28125" style="0" customWidth="1"/>
  </cols>
  <sheetData>
    <row r="2" ht="12.75">
      <c r="Q2" s="1" t="s">
        <v>31</v>
      </c>
    </row>
    <row r="3" spans="2:21" ht="20.25">
      <c r="B3" s="8" t="s">
        <v>50</v>
      </c>
      <c r="Q3" s="35">
        <f>O13-J13</f>
        <v>1761.4171092670704</v>
      </c>
      <c r="R3" s="13" t="s">
        <v>21</v>
      </c>
      <c r="U3" s="10"/>
    </row>
    <row r="4" spans="17:21" ht="12.75">
      <c r="Q4" s="35">
        <f>Q3/60</f>
        <v>29.35695182111784</v>
      </c>
      <c r="R4" s="13" t="s">
        <v>9</v>
      </c>
      <c r="U4" s="21" t="s">
        <v>32</v>
      </c>
    </row>
    <row r="5" ht="12.75">
      <c r="D5" s="1" t="s">
        <v>0</v>
      </c>
    </row>
    <row r="6" spans="9:22" ht="38.25">
      <c r="I6" s="6" t="s">
        <v>8</v>
      </c>
      <c r="J6" s="6" t="s">
        <v>22</v>
      </c>
      <c r="K6" s="6" t="s">
        <v>28</v>
      </c>
      <c r="L6" s="6" t="s">
        <v>23</v>
      </c>
      <c r="M6" s="6" t="s">
        <v>24</v>
      </c>
      <c r="N6" s="6" t="s">
        <v>25</v>
      </c>
      <c r="O6" s="6" t="s">
        <v>26</v>
      </c>
      <c r="P6" s="6" t="s">
        <v>27</v>
      </c>
      <c r="S6" s="6" t="s">
        <v>28</v>
      </c>
      <c r="V6" s="6" t="s">
        <v>23</v>
      </c>
    </row>
    <row r="7" spans="4:29" ht="12.75">
      <c r="D7" s="2" t="s">
        <v>14</v>
      </c>
      <c r="E7" s="12">
        <v>2.77</v>
      </c>
      <c r="F7" t="s">
        <v>1</v>
      </c>
      <c r="I7" s="7" t="s">
        <v>9</v>
      </c>
      <c r="J7" s="7" t="s">
        <v>21</v>
      </c>
      <c r="K7" s="7" t="s">
        <v>10</v>
      </c>
      <c r="L7" s="7" t="s">
        <v>1</v>
      </c>
      <c r="M7" s="7" t="s">
        <v>16</v>
      </c>
      <c r="N7" s="7" t="s">
        <v>21</v>
      </c>
      <c r="O7" s="7" t="s">
        <v>21</v>
      </c>
      <c r="P7" s="7" t="s">
        <v>10</v>
      </c>
      <c r="S7" s="7" t="s">
        <v>10</v>
      </c>
      <c r="U7" t="s">
        <v>29</v>
      </c>
      <c r="V7" s="7" t="s">
        <v>1</v>
      </c>
      <c r="Y7" s="17"/>
      <c r="Z7" s="17"/>
      <c r="AA7" s="17"/>
      <c r="AB7" s="17"/>
      <c r="AC7" s="17"/>
    </row>
    <row r="8" spans="4:29" ht="12.75">
      <c r="D8" s="2" t="s">
        <v>6</v>
      </c>
      <c r="E8" s="3">
        <v>2100</v>
      </c>
      <c r="F8" t="s">
        <v>1</v>
      </c>
      <c r="I8">
        <v>0</v>
      </c>
      <c r="J8" s="7">
        <f aca="true" t="shared" si="0" ref="J8:J16">I8*60</f>
        <v>0</v>
      </c>
      <c r="K8" s="25">
        <f>E19</f>
        <v>4.8</v>
      </c>
      <c r="L8" s="27">
        <f>V8</f>
        <v>2.772661582361783</v>
      </c>
      <c r="M8" s="34">
        <f>($E$11^(1/2)*$E$9^(2/3)/$E$10)*(L8^(2/3)*(5*$E$9+6*L8)/(2*(($E$9+2*L8)^(5/3))))</f>
        <v>1.1173606110992413</v>
      </c>
      <c r="N8" s="35">
        <f>$E$8/M8</f>
        <v>1879.4290573157523</v>
      </c>
      <c r="O8" s="36">
        <f aca="true" t="shared" si="1" ref="O8:O16">J8+N8</f>
        <v>1879.4290573157523</v>
      </c>
      <c r="P8" s="11">
        <f>K8</f>
        <v>4.8</v>
      </c>
      <c r="S8" s="25">
        <f>K8</f>
        <v>4.8</v>
      </c>
      <c r="T8" s="7" t="s">
        <v>33</v>
      </c>
      <c r="U8" s="23">
        <f>(1/$E$10)*(($E$9*V8)/($E$9+2*V8))^(2/3)*$E$11^(1/2)*($E$9*V8)</f>
        <v>4.8000002321589905</v>
      </c>
      <c r="V8" s="27">
        <v>2.772661582361783</v>
      </c>
      <c r="Y8" s="18"/>
      <c r="Z8" s="19"/>
      <c r="AA8" s="18"/>
      <c r="AB8" s="19"/>
      <c r="AC8" s="17"/>
    </row>
    <row r="9" spans="4:29" ht="12.75">
      <c r="D9" s="2" t="s">
        <v>5</v>
      </c>
      <c r="E9" s="3">
        <v>2.85</v>
      </c>
      <c r="F9" t="s">
        <v>1</v>
      </c>
      <c r="I9">
        <v>5</v>
      </c>
      <c r="J9" s="7">
        <f t="shared" si="0"/>
        <v>300</v>
      </c>
      <c r="K9" s="11">
        <f>K8+((K$13-K$8)/5)</f>
        <v>8.44</v>
      </c>
      <c r="L9" s="27">
        <f aca="true" t="shared" si="2" ref="L9:L16">V9</f>
        <v>4.449966868786256</v>
      </c>
      <c r="M9" s="34">
        <f aca="true" t="shared" si="3" ref="M9:M16">($E$11^(1/2)*$E$9^(2/3)/$E$10)*(L9^(2/3)*(5*$E$9+6*L9)/(2*(($E$9+2*L9)^(5/3))))</f>
        <v>1.1596506981782133</v>
      </c>
      <c r="N9" s="35">
        <f aca="true" t="shared" si="4" ref="N9:N16">$E$8/M9</f>
        <v>1810.8901269141263</v>
      </c>
      <c r="O9" s="36">
        <f t="shared" si="1"/>
        <v>2110.890126914126</v>
      </c>
      <c r="P9" s="11">
        <f aca="true" t="shared" si="5" ref="P9:P16">K9</f>
        <v>8.44</v>
      </c>
      <c r="S9" s="11">
        <f>S8+((S$13-S$8)/5)</f>
        <v>8.44</v>
      </c>
      <c r="T9" s="7" t="s">
        <v>33</v>
      </c>
      <c r="U9" s="23">
        <f>(1/$E$10)*(($E$9*V9)/($E$9+2*V9))^(2/3)*$E$11^(1/2)*($E$9*V9)</f>
        <v>8.43999999999944</v>
      </c>
      <c r="V9" s="27">
        <v>4.449966868786256</v>
      </c>
      <c r="Y9" s="20"/>
      <c r="Z9" s="19"/>
      <c r="AA9" s="20"/>
      <c r="AB9" s="19"/>
      <c r="AC9" s="17"/>
    </row>
    <row r="10" spans="4:29" ht="12.75">
      <c r="D10" s="2" t="s">
        <v>12</v>
      </c>
      <c r="E10" s="28">
        <v>0.05</v>
      </c>
      <c r="F10" t="s">
        <v>2</v>
      </c>
      <c r="I10">
        <v>10</v>
      </c>
      <c r="J10" s="7">
        <f t="shared" si="0"/>
        <v>600</v>
      </c>
      <c r="K10" s="11">
        <f>K9+((K$13-K$8)/5)</f>
        <v>12.079999999999998</v>
      </c>
      <c r="L10" s="27">
        <f t="shared" si="2"/>
        <v>6.088829966627207</v>
      </c>
      <c r="M10" s="34">
        <f t="shared" si="3"/>
        <v>1.1762105041218605</v>
      </c>
      <c r="N10" s="35">
        <f t="shared" si="4"/>
        <v>1785.394699878</v>
      </c>
      <c r="O10" s="36">
        <f t="shared" si="1"/>
        <v>2385.394699878</v>
      </c>
      <c r="P10" s="11">
        <f t="shared" si="5"/>
        <v>12.079999999999998</v>
      </c>
      <c r="S10" s="11">
        <f>S9+((S$13-S$8)/5)</f>
        <v>12.079999999999998</v>
      </c>
      <c r="T10" s="7" t="s">
        <v>33</v>
      </c>
      <c r="U10" s="23">
        <f aca="true" t="shared" si="6" ref="U10:U15">(1/$E$10)*(($E$9*V10)/($E$9+2*V10))^(2/3)*$E$11^(1/2)*($E$9*V10)</f>
        <v>12.079999986702068</v>
      </c>
      <c r="V10" s="27">
        <v>6.088829966627207</v>
      </c>
      <c r="Y10" s="20"/>
      <c r="Z10" s="19"/>
      <c r="AA10" s="20"/>
      <c r="AB10" s="19"/>
      <c r="AC10" s="17"/>
    </row>
    <row r="11" spans="4:29" ht="12.75">
      <c r="D11" s="2" t="s">
        <v>3</v>
      </c>
      <c r="E11" s="3">
        <v>0.001</v>
      </c>
      <c r="F11" t="s">
        <v>4</v>
      </c>
      <c r="I11">
        <v>15</v>
      </c>
      <c r="J11" s="7">
        <f t="shared" si="0"/>
        <v>900</v>
      </c>
      <c r="K11" s="11">
        <f>K10+((K$13-K$8)/5)</f>
        <v>15.719999999999999</v>
      </c>
      <c r="L11" s="27">
        <f t="shared" si="2"/>
        <v>7.711332452301197</v>
      </c>
      <c r="M11" s="34">
        <f t="shared" si="3"/>
        <v>1.184488650590901</v>
      </c>
      <c r="N11" s="35">
        <f t="shared" si="4"/>
        <v>1772.9169451749342</v>
      </c>
      <c r="O11" s="36">
        <f t="shared" si="1"/>
        <v>2672.916945174934</v>
      </c>
      <c r="P11" s="11">
        <f t="shared" si="5"/>
        <v>15.719999999999999</v>
      </c>
      <c r="S11" s="11">
        <f>S10+((S$13-S$8)/5)</f>
        <v>15.719999999999999</v>
      </c>
      <c r="T11" s="7" t="s">
        <v>33</v>
      </c>
      <c r="U11" s="23">
        <f t="shared" si="6"/>
        <v>15.720000200210125</v>
      </c>
      <c r="V11" s="27">
        <v>7.711332452301197</v>
      </c>
      <c r="Y11" s="20"/>
      <c r="Z11" s="19"/>
      <c r="AA11" s="20"/>
      <c r="AB11" s="19"/>
      <c r="AC11" s="17"/>
    </row>
    <row r="12" spans="9:29" ht="12.75">
      <c r="I12">
        <v>20</v>
      </c>
      <c r="J12" s="7">
        <f t="shared" si="0"/>
        <v>1200</v>
      </c>
      <c r="K12" s="11">
        <f>K11+((K$13-K$8)/5)</f>
        <v>19.36</v>
      </c>
      <c r="L12" s="27">
        <f t="shared" si="2"/>
        <v>9.325226831576165</v>
      </c>
      <c r="M12" s="34">
        <f t="shared" si="3"/>
        <v>1.189238614021101</v>
      </c>
      <c r="N12" s="35">
        <f t="shared" si="4"/>
        <v>1765.8356996157365</v>
      </c>
      <c r="O12" s="36">
        <f t="shared" si="1"/>
        <v>2965.8356996157363</v>
      </c>
      <c r="P12" s="11">
        <f t="shared" si="5"/>
        <v>19.36</v>
      </c>
      <c r="S12" s="11">
        <f>S11+((S$13-S$8)/5)</f>
        <v>19.36</v>
      </c>
      <c r="T12" s="7" t="s">
        <v>33</v>
      </c>
      <c r="U12" s="23">
        <f t="shared" si="6"/>
        <v>19.36000005602103</v>
      </c>
      <c r="V12" s="27">
        <v>9.325226831576165</v>
      </c>
      <c r="Y12" s="20"/>
      <c r="Z12" s="19"/>
      <c r="AA12" s="20"/>
      <c r="AB12" s="19"/>
      <c r="AC12" s="17"/>
    </row>
    <row r="13" spans="9:29" ht="12.75">
      <c r="I13">
        <v>25</v>
      </c>
      <c r="J13" s="7">
        <f t="shared" si="0"/>
        <v>1500</v>
      </c>
      <c r="K13" s="25">
        <v>23</v>
      </c>
      <c r="L13" s="27">
        <f t="shared" si="2"/>
        <v>10.934004156429879</v>
      </c>
      <c r="M13" s="34">
        <f t="shared" si="3"/>
        <v>1.1922218700792653</v>
      </c>
      <c r="N13" s="35">
        <f t="shared" si="4"/>
        <v>1761.4171092670701</v>
      </c>
      <c r="O13" s="36">
        <f t="shared" si="1"/>
        <v>3261.4171092670704</v>
      </c>
      <c r="P13" s="11">
        <f t="shared" si="5"/>
        <v>23</v>
      </c>
      <c r="S13" s="25">
        <v>23</v>
      </c>
      <c r="T13" s="7" t="s">
        <v>33</v>
      </c>
      <c r="U13" s="23">
        <f t="shared" si="6"/>
        <v>23.000000075956574</v>
      </c>
      <c r="V13" s="27">
        <v>10.934004156429879</v>
      </c>
      <c r="Y13" s="20"/>
      <c r="Z13" s="19"/>
      <c r="AA13" s="20"/>
      <c r="AB13" s="19"/>
      <c r="AC13" s="17"/>
    </row>
    <row r="14" spans="4:29" ht="12.75">
      <c r="D14" s="2" t="s">
        <v>13</v>
      </c>
      <c r="E14" s="33">
        <f>(E9*E7)/(E9+2*E7)</f>
        <v>0.9409415971394518</v>
      </c>
      <c r="F14" t="s">
        <v>1</v>
      </c>
      <c r="I14">
        <v>30</v>
      </c>
      <c r="J14" s="7">
        <f t="shared" si="0"/>
        <v>1800</v>
      </c>
      <c r="K14" s="11">
        <f>K13-(K$13-K$16)/3</f>
        <v>16.933333333333334</v>
      </c>
      <c r="L14" s="27">
        <f t="shared" si="2"/>
        <v>8.250030473713986</v>
      </c>
      <c r="M14" s="34">
        <f t="shared" si="3"/>
        <v>1.1863453921325802</v>
      </c>
      <c r="N14" s="35">
        <f t="shared" si="4"/>
        <v>1770.1421642688981</v>
      </c>
      <c r="O14" s="36">
        <f t="shared" si="1"/>
        <v>3570.1421642688983</v>
      </c>
      <c r="P14" s="11">
        <f t="shared" si="5"/>
        <v>16.933333333333334</v>
      </c>
      <c r="S14" s="11">
        <f>S13-(S$13-S$16)/3</f>
        <v>16.933333333333334</v>
      </c>
      <c r="T14" s="7" t="s">
        <v>33</v>
      </c>
      <c r="U14" s="23">
        <f t="shared" si="6"/>
        <v>16.933333378723525</v>
      </c>
      <c r="V14" s="27">
        <v>8.250030473713986</v>
      </c>
      <c r="Y14" s="20"/>
      <c r="Z14" s="19"/>
      <c r="AA14" s="20"/>
      <c r="AB14" s="19"/>
      <c r="AC14" s="17"/>
    </row>
    <row r="15" spans="4:29" ht="12.75">
      <c r="D15" s="2" t="s">
        <v>15</v>
      </c>
      <c r="E15" s="34">
        <f>(1/E10)*E14^(2/3)*E11^(1/2)</f>
        <v>0.607302554395403</v>
      </c>
      <c r="F15" t="s">
        <v>16</v>
      </c>
      <c r="I15">
        <v>35</v>
      </c>
      <c r="J15" s="7">
        <f t="shared" si="0"/>
        <v>2100</v>
      </c>
      <c r="K15" s="11">
        <f>K14-(K$13-K$16)/3</f>
        <v>10.866666666666667</v>
      </c>
      <c r="L15" s="27">
        <f t="shared" si="2"/>
        <v>5.544972067984225</v>
      </c>
      <c r="M15" s="34">
        <f t="shared" si="3"/>
        <v>1.1720226190545642</v>
      </c>
      <c r="N15" s="35">
        <f t="shared" si="4"/>
        <v>1791.7742933101476</v>
      </c>
      <c r="O15" s="36">
        <f t="shared" si="1"/>
        <v>3891.7742933101476</v>
      </c>
      <c r="P15" s="11">
        <f t="shared" si="5"/>
        <v>10.866666666666667</v>
      </c>
      <c r="S15" s="11">
        <f>S14-(S$13-S$16)/3</f>
        <v>10.866666666666667</v>
      </c>
      <c r="T15" s="7" t="s">
        <v>33</v>
      </c>
      <c r="U15" s="23">
        <f t="shared" si="6"/>
        <v>10.866666652301562</v>
      </c>
      <c r="V15" s="27">
        <v>5.544972067984225</v>
      </c>
      <c r="Y15" s="20"/>
      <c r="Z15" s="19"/>
      <c r="AA15" s="20"/>
      <c r="AB15" s="19"/>
      <c r="AC15" s="17"/>
    </row>
    <row r="16" spans="5:29" ht="14.25">
      <c r="E16" s="9" t="s">
        <v>18</v>
      </c>
      <c r="I16">
        <v>40</v>
      </c>
      <c r="J16" s="7">
        <f t="shared" si="0"/>
        <v>2400</v>
      </c>
      <c r="K16" s="25">
        <f>E19</f>
        <v>4.8</v>
      </c>
      <c r="L16" s="27">
        <f t="shared" si="2"/>
        <v>2.772661582361783</v>
      </c>
      <c r="M16" s="34">
        <f t="shared" si="3"/>
        <v>1.1173606110992413</v>
      </c>
      <c r="N16" s="35">
        <f t="shared" si="4"/>
        <v>1879.4290573157523</v>
      </c>
      <c r="O16" s="36">
        <f t="shared" si="1"/>
        <v>4279.429057315752</v>
      </c>
      <c r="P16" s="11">
        <f t="shared" si="5"/>
        <v>4.8</v>
      </c>
      <c r="S16" s="25">
        <f>K16</f>
        <v>4.8</v>
      </c>
      <c r="T16" s="7" t="s">
        <v>33</v>
      </c>
      <c r="U16" s="23">
        <f>(1/$E$10)*(($E$9*V16)/($E$9+2*V16))^(2/3)*$E$11^(1/2)*($E$9*V16)</f>
        <v>4.8000002321589905</v>
      </c>
      <c r="V16" s="27">
        <v>2.772661582361783</v>
      </c>
      <c r="Y16" s="18"/>
      <c r="Z16" s="19"/>
      <c r="AA16" s="18"/>
      <c r="AB16" s="19"/>
      <c r="AC16" s="17"/>
    </row>
    <row r="17" spans="5:29" ht="12.75">
      <c r="E17" s="10">
        <f>9.8*E8*E11/(E15*E15)</f>
        <v>55.80012280990159</v>
      </c>
      <c r="F17" s="10" t="s">
        <v>19</v>
      </c>
      <c r="G17" s="10" t="s">
        <v>20</v>
      </c>
      <c r="Y17" s="17"/>
      <c r="Z17" s="17"/>
      <c r="AA17" s="17"/>
      <c r="AB17" s="17"/>
      <c r="AC17" s="17"/>
    </row>
    <row r="19" spans="4:6" ht="12.75">
      <c r="D19" s="2" t="s">
        <v>17</v>
      </c>
      <c r="E19" s="24">
        <v>4.8</v>
      </c>
      <c r="F19" t="s">
        <v>10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200374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C19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1" max="11" width="10.57421875" style="0" bestFit="1" customWidth="1"/>
    <col min="14" max="14" width="11.00390625" style="0" customWidth="1"/>
    <col min="20" max="20" width="9.57421875" style="0" bestFit="1" customWidth="1"/>
    <col min="21" max="21" width="12.28125" style="0" customWidth="1"/>
  </cols>
  <sheetData>
    <row r="2" ht="12.75">
      <c r="Q2" s="1" t="s">
        <v>31</v>
      </c>
    </row>
    <row r="3" spans="2:21" ht="20.25">
      <c r="B3" s="8" t="s">
        <v>51</v>
      </c>
      <c r="Q3" s="35">
        <f>O13-J13</f>
        <v>2806.3676197787718</v>
      </c>
      <c r="R3" s="13" t="s">
        <v>21</v>
      </c>
      <c r="U3" s="10"/>
    </row>
    <row r="4" spans="17:21" ht="12.75">
      <c r="Q4" s="35">
        <f>Q3/60</f>
        <v>46.77279366297953</v>
      </c>
      <c r="R4" s="13" t="s">
        <v>9</v>
      </c>
      <c r="U4" s="21" t="s">
        <v>32</v>
      </c>
    </row>
    <row r="5" ht="12.75">
      <c r="D5" s="1" t="s">
        <v>0</v>
      </c>
    </row>
    <row r="6" spans="9:22" ht="38.25">
      <c r="I6" s="6" t="s">
        <v>8</v>
      </c>
      <c r="J6" s="6" t="s">
        <v>22</v>
      </c>
      <c r="K6" s="6" t="s">
        <v>28</v>
      </c>
      <c r="L6" s="6" t="s">
        <v>23</v>
      </c>
      <c r="M6" s="6" t="s">
        <v>24</v>
      </c>
      <c r="N6" s="6" t="s">
        <v>25</v>
      </c>
      <c r="O6" s="6" t="s">
        <v>26</v>
      </c>
      <c r="P6" s="6" t="s">
        <v>27</v>
      </c>
      <c r="S6" s="6" t="s">
        <v>28</v>
      </c>
      <c r="V6" s="6" t="s">
        <v>23</v>
      </c>
    </row>
    <row r="7" spans="4:29" ht="12.75">
      <c r="D7" s="2" t="s">
        <v>14</v>
      </c>
      <c r="E7" s="12">
        <v>4.1</v>
      </c>
      <c r="F7" t="s">
        <v>1</v>
      </c>
      <c r="I7" s="7" t="s">
        <v>9</v>
      </c>
      <c r="J7" s="7" t="s">
        <v>21</v>
      </c>
      <c r="K7" s="7" t="s">
        <v>10</v>
      </c>
      <c r="L7" s="7" t="s">
        <v>1</v>
      </c>
      <c r="M7" s="7" t="s">
        <v>16</v>
      </c>
      <c r="N7" s="7" t="s">
        <v>21</v>
      </c>
      <c r="O7" s="7" t="s">
        <v>21</v>
      </c>
      <c r="P7" s="7" t="s">
        <v>10</v>
      </c>
      <c r="S7" s="7" t="s">
        <v>10</v>
      </c>
      <c r="U7" t="s">
        <v>29</v>
      </c>
      <c r="V7" s="7" t="s">
        <v>1</v>
      </c>
      <c r="Y7" s="17"/>
      <c r="Z7" s="17"/>
      <c r="AA7" s="17"/>
      <c r="AB7" s="17"/>
      <c r="AC7" s="17"/>
    </row>
    <row r="8" spans="4:29" ht="12.75">
      <c r="D8" s="2" t="s">
        <v>6</v>
      </c>
      <c r="E8" s="3">
        <v>2100</v>
      </c>
      <c r="F8" t="s">
        <v>1</v>
      </c>
      <c r="I8">
        <v>0</v>
      </c>
      <c r="J8" s="7">
        <f aca="true" t="shared" si="0" ref="J8:J16">I8*60</f>
        <v>0</v>
      </c>
      <c r="K8" s="25">
        <f>E19</f>
        <v>4.8</v>
      </c>
      <c r="L8" s="27">
        <f aca="true" t="shared" si="1" ref="L8:L16">V8</f>
        <v>4.104230647601128</v>
      </c>
      <c r="M8" s="34">
        <f aca="true" t="shared" si="2" ref="M8:M16">($E$11^(1/2)*$E$9^(2/3)/$E$10)*(L8^(2/3)*(5*$E$9+6*L8)/(2*(($E$9+2*L8)^(5/3))))</f>
        <v>0.7212978155649312</v>
      </c>
      <c r="N8" s="35">
        <f aca="true" t="shared" si="3" ref="N8:N16">$E$8/M8</f>
        <v>2911.4187713922975</v>
      </c>
      <c r="O8" s="36">
        <f aca="true" t="shared" si="4" ref="O8:O16">J8+N8</f>
        <v>2911.4187713922975</v>
      </c>
      <c r="P8" s="11">
        <f aca="true" t="shared" si="5" ref="P8:P16">K8</f>
        <v>4.8</v>
      </c>
      <c r="S8" s="25">
        <f>K8</f>
        <v>4.8</v>
      </c>
      <c r="T8" s="7" t="s">
        <v>33</v>
      </c>
      <c r="U8" s="23">
        <f aca="true" t="shared" si="6" ref="U8:U16">(1/$E$10)*(($E$9*V8)/($E$9+2*V8))^(2/3)*$E$11^(1/2)*($E$9*V8)</f>
        <v>4.800000065503127</v>
      </c>
      <c r="V8" s="27">
        <v>4.104230647601128</v>
      </c>
      <c r="Y8" s="18"/>
      <c r="Z8" s="19"/>
      <c r="AA8" s="18"/>
      <c r="AB8" s="19"/>
      <c r="AC8" s="17"/>
    </row>
    <row r="9" spans="4:29" ht="12.75">
      <c r="D9" s="2" t="s">
        <v>5</v>
      </c>
      <c r="E9" s="3">
        <v>2.85</v>
      </c>
      <c r="F9" t="s">
        <v>1</v>
      </c>
      <c r="I9">
        <v>5</v>
      </c>
      <c r="J9" s="7">
        <f t="shared" si="0"/>
        <v>300</v>
      </c>
      <c r="K9" s="11">
        <f>K8+((K$13-K$8)/5)</f>
        <v>8.44</v>
      </c>
      <c r="L9" s="27">
        <f t="shared" si="1"/>
        <v>6.7249384152980936</v>
      </c>
      <c r="M9" s="34">
        <f t="shared" si="2"/>
        <v>0.7375383898447541</v>
      </c>
      <c r="N9" s="35">
        <f t="shared" si="3"/>
        <v>2847.309413198184</v>
      </c>
      <c r="O9" s="36">
        <f t="shared" si="4"/>
        <v>3147.309413198184</v>
      </c>
      <c r="P9" s="11">
        <f t="shared" si="5"/>
        <v>8.44</v>
      </c>
      <c r="S9" s="11">
        <f>S8+((S$13-S$8)/5)</f>
        <v>8.44</v>
      </c>
      <c r="T9" s="7" t="s">
        <v>33</v>
      </c>
      <c r="U9" s="23">
        <f t="shared" si="6"/>
        <v>8.439999427824597</v>
      </c>
      <c r="V9" s="27">
        <v>6.7249384152980936</v>
      </c>
      <c r="Y9" s="20"/>
      <c r="Z9" s="19"/>
      <c r="AA9" s="20"/>
      <c r="AB9" s="19"/>
      <c r="AC9" s="17"/>
    </row>
    <row r="10" spans="4:29" ht="12.75">
      <c r="D10" s="2" t="s">
        <v>12</v>
      </c>
      <c r="E10" s="28">
        <v>0.08</v>
      </c>
      <c r="F10" t="s">
        <v>2</v>
      </c>
      <c r="I10">
        <v>10</v>
      </c>
      <c r="J10" s="7">
        <f t="shared" si="0"/>
        <v>600</v>
      </c>
      <c r="K10" s="11">
        <f>K9+((K$13-K$8)/5)</f>
        <v>12.079999999999998</v>
      </c>
      <c r="L10" s="27">
        <f t="shared" si="1"/>
        <v>9.311064522875236</v>
      </c>
      <c r="M10" s="34">
        <f t="shared" si="2"/>
        <v>0.7432538442118669</v>
      </c>
      <c r="N10" s="35">
        <f t="shared" si="3"/>
        <v>2825.414246228087</v>
      </c>
      <c r="O10" s="36">
        <f t="shared" si="4"/>
        <v>3425.414246228087</v>
      </c>
      <c r="P10" s="11">
        <f t="shared" si="5"/>
        <v>12.079999999999998</v>
      </c>
      <c r="S10" s="11">
        <f>S9+((S$13-S$8)/5)</f>
        <v>12.079999999999998</v>
      </c>
      <c r="T10" s="7" t="s">
        <v>33</v>
      </c>
      <c r="U10" s="23">
        <f t="shared" si="6"/>
        <v>12.08000000011934</v>
      </c>
      <c r="V10" s="27">
        <v>9.311064522875236</v>
      </c>
      <c r="Y10" s="20"/>
      <c r="Z10" s="19"/>
      <c r="AA10" s="20"/>
      <c r="AB10" s="19"/>
      <c r="AC10" s="17"/>
    </row>
    <row r="11" spans="4:29" ht="12.75">
      <c r="D11" s="2" t="s">
        <v>3</v>
      </c>
      <c r="E11" s="3">
        <v>0.001</v>
      </c>
      <c r="F11" t="s">
        <v>4</v>
      </c>
      <c r="I11">
        <v>15</v>
      </c>
      <c r="J11" s="7">
        <f t="shared" si="0"/>
        <v>900</v>
      </c>
      <c r="K11" s="11">
        <f>K10+((K$13-K$8)/5)</f>
        <v>15.719999999999999</v>
      </c>
      <c r="L11" s="27">
        <f t="shared" si="1"/>
        <v>11.883496898729438</v>
      </c>
      <c r="M11" s="34">
        <f t="shared" si="2"/>
        <v>0.7459323100562341</v>
      </c>
      <c r="N11" s="35">
        <f t="shared" si="3"/>
        <v>2815.268854410779</v>
      </c>
      <c r="O11" s="36">
        <f t="shared" si="4"/>
        <v>3715.268854410779</v>
      </c>
      <c r="P11" s="11">
        <f t="shared" si="5"/>
        <v>15.719999999999999</v>
      </c>
      <c r="S11" s="11">
        <f>S10+((S$13-S$8)/5)</f>
        <v>15.719999999999999</v>
      </c>
      <c r="T11" s="7" t="s">
        <v>33</v>
      </c>
      <c r="U11" s="23">
        <f t="shared" si="6"/>
        <v>15.719999915897649</v>
      </c>
      <c r="V11" s="27">
        <v>11.883496898729438</v>
      </c>
      <c r="Y11" s="20"/>
      <c r="Z11" s="19"/>
      <c r="AA11" s="20"/>
      <c r="AB11" s="19"/>
      <c r="AC11" s="17"/>
    </row>
    <row r="12" spans="9:29" ht="12.75">
      <c r="I12">
        <v>20</v>
      </c>
      <c r="J12" s="7">
        <f t="shared" si="0"/>
        <v>1200</v>
      </c>
      <c r="K12" s="11">
        <f>K11+((K$13-K$8)/5)</f>
        <v>19.36</v>
      </c>
      <c r="L12" s="27">
        <f t="shared" si="1"/>
        <v>14.449057604192625</v>
      </c>
      <c r="M12" s="34">
        <f t="shared" si="2"/>
        <v>0.7474033211872501</v>
      </c>
      <c r="N12" s="35">
        <f t="shared" si="3"/>
        <v>2809.727948043033</v>
      </c>
      <c r="O12" s="36">
        <f t="shared" si="4"/>
        <v>4009.727948043033</v>
      </c>
      <c r="P12" s="11">
        <f t="shared" si="5"/>
        <v>19.36</v>
      </c>
      <c r="S12" s="11">
        <f>S11+((S$13-S$8)/5)</f>
        <v>19.36</v>
      </c>
      <c r="T12" s="7" t="s">
        <v>33</v>
      </c>
      <c r="U12" s="23">
        <f t="shared" si="6"/>
        <v>19.35999996018544</v>
      </c>
      <c r="V12" s="27">
        <v>14.449057604192625</v>
      </c>
      <c r="Y12" s="20"/>
      <c r="Z12" s="19"/>
      <c r="AA12" s="20"/>
      <c r="AB12" s="19"/>
      <c r="AC12" s="17"/>
    </row>
    <row r="13" spans="9:29" ht="12.75">
      <c r="I13">
        <v>25</v>
      </c>
      <c r="J13" s="7">
        <f t="shared" si="0"/>
        <v>1500</v>
      </c>
      <c r="K13" s="25">
        <v>23</v>
      </c>
      <c r="L13" s="27">
        <f t="shared" si="1"/>
        <v>17.01066891660442</v>
      </c>
      <c r="M13" s="34">
        <f t="shared" si="2"/>
        <v>0.7482982575766551</v>
      </c>
      <c r="N13" s="35">
        <f t="shared" si="3"/>
        <v>2806.3676197787718</v>
      </c>
      <c r="O13" s="36">
        <f t="shared" si="4"/>
        <v>4306.367619778772</v>
      </c>
      <c r="P13" s="11">
        <f t="shared" si="5"/>
        <v>23</v>
      </c>
      <c r="S13" s="25">
        <v>23</v>
      </c>
      <c r="T13" s="7" t="s">
        <v>33</v>
      </c>
      <c r="U13" s="23">
        <f t="shared" si="6"/>
        <v>22.999999979263514</v>
      </c>
      <c r="V13" s="27">
        <v>17.01066891660442</v>
      </c>
      <c r="Y13" s="20"/>
      <c r="Z13" s="19"/>
      <c r="AA13" s="20"/>
      <c r="AB13" s="19"/>
      <c r="AC13" s="17"/>
    </row>
    <row r="14" spans="4:29" ht="12.75">
      <c r="D14" s="2" t="s">
        <v>13</v>
      </c>
      <c r="E14" s="33">
        <f>(E9*E7)/(E9+2*E7)</f>
        <v>1.0574660633484163</v>
      </c>
      <c r="F14" t="s">
        <v>1</v>
      </c>
      <c r="I14">
        <v>30</v>
      </c>
      <c r="J14" s="7">
        <f t="shared" si="0"/>
        <v>1800</v>
      </c>
      <c r="K14" s="11">
        <f>K13-(K$13-K$16)/3</f>
        <v>16.933333333333334</v>
      </c>
      <c r="L14" s="27">
        <f t="shared" si="1"/>
        <v>12.739258106052478</v>
      </c>
      <c r="M14" s="34">
        <f t="shared" si="2"/>
        <v>0.746513593798908</v>
      </c>
      <c r="N14" s="35">
        <f t="shared" si="3"/>
        <v>2813.076704087035</v>
      </c>
      <c r="O14" s="36">
        <f t="shared" si="4"/>
        <v>4613.076704087035</v>
      </c>
      <c r="P14" s="11">
        <f t="shared" si="5"/>
        <v>16.933333333333334</v>
      </c>
      <c r="S14" s="11">
        <f>S13-(S$13-S$16)/3</f>
        <v>16.933333333333334</v>
      </c>
      <c r="T14" s="7" t="s">
        <v>33</v>
      </c>
      <c r="U14" s="23">
        <f t="shared" si="6"/>
        <v>16.933333268585756</v>
      </c>
      <c r="V14" s="27">
        <v>12.739258106052478</v>
      </c>
      <c r="Y14" s="20"/>
      <c r="Z14" s="19"/>
      <c r="AA14" s="20"/>
      <c r="AB14" s="19"/>
      <c r="AC14" s="17"/>
    </row>
    <row r="15" spans="4:29" ht="12.75">
      <c r="D15" s="2" t="s">
        <v>15</v>
      </c>
      <c r="E15" s="34">
        <f>(1/E10)*E14^(2/3)*E11^(1/2)</f>
        <v>0.41028688881418146</v>
      </c>
      <c r="F15" t="s">
        <v>16</v>
      </c>
      <c r="I15">
        <v>35</v>
      </c>
      <c r="J15" s="7">
        <f t="shared" si="0"/>
        <v>2100</v>
      </c>
      <c r="K15" s="11">
        <f>K14-(K$13-K$16)/3</f>
        <v>10.866666666666667</v>
      </c>
      <c r="L15" s="27">
        <f t="shared" si="1"/>
        <v>8.451096502910746</v>
      </c>
      <c r="M15" s="34">
        <f t="shared" si="2"/>
        <v>0.7418502397954313</v>
      </c>
      <c r="N15" s="35">
        <f t="shared" si="3"/>
        <v>2830.760020484842</v>
      </c>
      <c r="O15" s="36">
        <f t="shared" si="4"/>
        <v>4930.760020484842</v>
      </c>
      <c r="P15" s="11">
        <f t="shared" si="5"/>
        <v>10.866666666666667</v>
      </c>
      <c r="S15" s="11">
        <f>S14-(S$13-S$16)/3</f>
        <v>10.866666666666667</v>
      </c>
      <c r="T15" s="7" t="s">
        <v>33</v>
      </c>
      <c r="U15" s="23">
        <f t="shared" si="6"/>
        <v>10.866666387317471</v>
      </c>
      <c r="V15" s="27">
        <v>8.451096502910746</v>
      </c>
      <c r="Y15" s="20"/>
      <c r="Z15" s="19"/>
      <c r="AA15" s="20"/>
      <c r="AB15" s="19"/>
      <c r="AC15" s="17"/>
    </row>
    <row r="16" spans="5:29" ht="14.25">
      <c r="E16" s="9" t="s">
        <v>18</v>
      </c>
      <c r="I16">
        <v>40</v>
      </c>
      <c r="J16" s="7">
        <f t="shared" si="0"/>
        <v>2400</v>
      </c>
      <c r="K16" s="25">
        <f>E19</f>
        <v>4.8</v>
      </c>
      <c r="L16" s="27">
        <f t="shared" si="1"/>
        <v>4.104230647601128</v>
      </c>
      <c r="M16" s="34">
        <f t="shared" si="2"/>
        <v>0.7212978155649317</v>
      </c>
      <c r="N16" s="35">
        <f t="shared" si="3"/>
        <v>2911.4187713922956</v>
      </c>
      <c r="O16" s="36">
        <f t="shared" si="4"/>
        <v>5311.418771392296</v>
      </c>
      <c r="P16" s="11">
        <f t="shared" si="5"/>
        <v>4.8</v>
      </c>
      <c r="S16" s="25">
        <f>K16</f>
        <v>4.8</v>
      </c>
      <c r="T16" s="7" t="s">
        <v>33</v>
      </c>
      <c r="U16" s="23">
        <f t="shared" si="6"/>
        <v>4.800000065503127</v>
      </c>
      <c r="V16" s="27">
        <v>4.104230647601128</v>
      </c>
      <c r="Y16" s="18"/>
      <c r="Z16" s="19"/>
      <c r="AA16" s="18"/>
      <c r="AB16" s="19"/>
      <c r="AC16" s="17"/>
    </row>
    <row r="17" spans="5:29" ht="12.75">
      <c r="E17" s="10">
        <f>9.8*E8*E11/(E15*E15)</f>
        <v>122.2559747945124</v>
      </c>
      <c r="F17" s="10" t="s">
        <v>19</v>
      </c>
      <c r="G17" s="10" t="s">
        <v>20</v>
      </c>
      <c r="Y17" s="17"/>
      <c r="Z17" s="17"/>
      <c r="AA17" s="17"/>
      <c r="AB17" s="17"/>
      <c r="AC17" s="17"/>
    </row>
    <row r="19" spans="4:6" ht="12.75">
      <c r="D19" s="2" t="s">
        <v>17</v>
      </c>
      <c r="E19" s="24">
        <v>4.8</v>
      </c>
      <c r="F19" t="s">
        <v>10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23573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Hydram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cecile</dc:creator>
  <cp:keywords/>
  <dc:description/>
  <cp:lastModifiedBy>Picouet</cp:lastModifiedBy>
  <dcterms:created xsi:type="dcterms:W3CDTF">2001-10-23T11:51:50Z</dcterms:created>
  <dcterms:modified xsi:type="dcterms:W3CDTF">2003-08-18T13:50:51Z</dcterms:modified>
  <cp:category/>
  <cp:version/>
  <cp:contentType/>
  <cp:contentStatus/>
</cp:coreProperties>
</file>