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nformation" sheetId="1" r:id="rId1"/>
    <sheet name="données" sheetId="2" r:id="rId2"/>
    <sheet name=" Gumbel_Qm" sheetId="3" r:id="rId3"/>
    <sheet name="Gumbel_Qm-graph" sheetId="4" r:id="rId4"/>
    <sheet name=" Gumbel_Pm _ GRADEX" sheetId="5" r:id="rId5"/>
    <sheet name=" Gumbel_Pm&amp;Qm_GRADEX - graphe" sheetId="6" r:id="rId6"/>
  </sheets>
  <definedNames/>
  <calcPr fullCalcOnLoad="1"/>
</workbook>
</file>

<file path=xl/sharedStrings.xml><?xml version="1.0" encoding="utf-8"?>
<sst xmlns="http://schemas.openxmlformats.org/spreadsheetml/2006/main" count="97" uniqueCount="60">
  <si>
    <t>Information</t>
  </si>
  <si>
    <t>feuille</t>
  </si>
  <si>
    <t>données</t>
  </si>
  <si>
    <t>données des précipitations et des débits</t>
  </si>
  <si>
    <t>cellule contenant une formule</t>
  </si>
  <si>
    <t>cellule dont le contenu doit être spécifié par l'utilisateur</t>
  </si>
  <si>
    <t xml:space="preserve">Données </t>
  </si>
  <si>
    <t>[-]</t>
  </si>
  <si>
    <t>Surface du bassin =</t>
  </si>
  <si>
    <t>[km2]</t>
  </si>
  <si>
    <t>[ans]</t>
  </si>
  <si>
    <t>rang</t>
  </si>
  <si>
    <t>fréquence empirique
selon Hazen</t>
  </si>
  <si>
    <t>variable réduite
de Gumbel u</t>
  </si>
  <si>
    <t>précipitations
estimées</t>
  </si>
  <si>
    <t>Temps de retour</t>
  </si>
  <si>
    <t>[mm/24h]</t>
  </si>
  <si>
    <t>[m3/s]</t>
  </si>
  <si>
    <t>a</t>
  </si>
  <si>
    <t>moyenne =</t>
  </si>
  <si>
    <t>[mm]</t>
  </si>
  <si>
    <t>b</t>
  </si>
  <si>
    <t>Ecart Type =</t>
  </si>
  <si>
    <t>Gamma =</t>
  </si>
  <si>
    <t xml:space="preserve">période de retour T = </t>
  </si>
  <si>
    <t>[an]</t>
  </si>
  <si>
    <t>variable réduite de Gumbel =</t>
  </si>
  <si>
    <t>Débits max (instantanés) (m3/s)</t>
  </si>
  <si>
    <t>Coefficients de pointe</t>
  </si>
  <si>
    <t>Statistique de l'échantillon:</t>
  </si>
  <si>
    <t xml:space="preserve">Ajustement par la méthode du max de vraisemblance : </t>
  </si>
  <si>
    <t>Taille =</t>
  </si>
  <si>
    <t xml:space="preserve"> Loi de Gumbel (ajustement des pluies) X = A + B*u  avec u=-ln(-ln(F(x))</t>
  </si>
  <si>
    <t>probabilité de non dépassement de Qm =</t>
  </si>
  <si>
    <t>Qmoy pour période de retour T  =</t>
  </si>
  <si>
    <t>avec a et b connus</t>
  </si>
  <si>
    <t>Construction de la droite d'ajustement des pluies moyenmes maximales journalieres annuelles selon une loi de Gumbel</t>
  </si>
  <si>
    <t>débits moyens  journaliers
estimés</t>
  </si>
  <si>
    <t xml:space="preserve">Débits moyens journal. max </t>
  </si>
  <si>
    <t>débits moyens  journaliers</t>
  </si>
  <si>
    <t xml:space="preserve">Statistique </t>
  </si>
  <si>
    <t>de l'échantillon:</t>
  </si>
  <si>
    <t>Coeff de pointe moyen =</t>
  </si>
  <si>
    <t>Et droite d'extrapolation des débits</t>
  </si>
  <si>
    <t>Coefficients a et  b de la droite d'extrapolation des débits</t>
  </si>
  <si>
    <t>b (pluie)</t>
  </si>
  <si>
    <t>débits moyens  journaliers extrapolés</t>
  </si>
  <si>
    <t>Point pivot !</t>
  </si>
  <si>
    <t>Qmax pour période de retour T  =</t>
  </si>
  <si>
    <t>débits de pointe extrapolés</t>
  </si>
  <si>
    <t>Lame d'eau max pour 24 h pour période de retour T  =</t>
  </si>
  <si>
    <t>Moyenne =</t>
  </si>
  <si>
    <t>débits moyens  journaliers estimés</t>
  </si>
  <si>
    <t xml:space="preserve">débits moyens  journaliers </t>
  </si>
  <si>
    <t xml:space="preserve"> Gumbel_Qm</t>
  </si>
  <si>
    <t>Ajustement des débits moyens maximales journaliers annuels selon une loi de Gumbel</t>
  </si>
  <si>
    <t xml:space="preserve"> Gumbel_Qm-graph</t>
  </si>
  <si>
    <t xml:space="preserve">Représentation graphique </t>
  </si>
  <si>
    <t xml:space="preserve"> Gumbel_Pm_GRADEX</t>
  </si>
  <si>
    <t xml:space="preserve"> Gumbel_Pm_GRADEX - graphe</t>
  </si>
</sst>
</file>

<file path=xl/styles.xml><?xml version="1.0" encoding="utf-8"?>
<styleSheet xmlns="http://schemas.openxmlformats.org/spreadsheetml/2006/main">
  <numFmts count="3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d/mm/yyyy"/>
    <numFmt numFmtId="166" formatCode="m/d"/>
    <numFmt numFmtId="167" formatCode="dd\-mmm\-yy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000"/>
    <numFmt numFmtId="186" formatCode="0.0000000000"/>
    <numFmt numFmtId="187" formatCode="mm/dd/yy"/>
    <numFmt numFmtId="188" formatCode="mm/dd/yyyy"/>
    <numFmt numFmtId="189" formatCode="0.00000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sz val="12"/>
      <name val="New Century Schlbk"/>
      <family val="0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7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173" fontId="0" fillId="2" borderId="0" xfId="0" applyNumberForma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0" fillId="2" borderId="0" xfId="0" applyNumberFormat="1" applyFill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164" fontId="5" fillId="0" borderId="0" xfId="0" applyNumberFormat="1" applyFont="1" applyFill="1" applyAlignment="1">
      <alignment horizontal="center"/>
    </xf>
    <xf numFmtId="0" fontId="0" fillId="0" borderId="2" xfId="0" applyBorder="1" applyAlignment="1">
      <alignment horizontal="right"/>
    </xf>
    <xf numFmtId="0" fontId="7" fillId="0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0" borderId="8" xfId="0" applyBorder="1" applyAlignment="1">
      <alignment horizontal="left"/>
    </xf>
    <xf numFmtId="164" fontId="0" fillId="2" borderId="0" xfId="0" applyNumberFormat="1" applyFill="1" applyBorder="1" applyAlignment="1">
      <alignment horizontal="center"/>
    </xf>
    <xf numFmtId="171" fontId="0" fillId="3" borderId="0" xfId="0" applyNumberFormat="1" applyFill="1" applyBorder="1" applyAlignment="1">
      <alignment horizontal="center"/>
    </xf>
    <xf numFmtId="2" fontId="6" fillId="2" borderId="0" xfId="0" applyNumberFormat="1" applyFont="1" applyFill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2" fontId="7" fillId="2" borderId="4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2" fontId="0" fillId="2" borderId="12" xfId="0" applyNumberFormat="1" applyFill="1" applyBorder="1" applyAlignment="1">
      <alignment horizontal="center"/>
    </xf>
    <xf numFmtId="0" fontId="4" fillId="0" borderId="0" xfId="0" applyFont="1" applyAlignment="1">
      <alignment horizontal="right"/>
    </xf>
    <xf numFmtId="164" fontId="0" fillId="2" borderId="12" xfId="0" applyNumberFormat="1" applyFill="1" applyBorder="1" applyAlignment="1">
      <alignment horizontal="center"/>
    </xf>
    <xf numFmtId="172" fontId="0" fillId="3" borderId="0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375"/>
          <c:w val="0.95275"/>
          <c:h val="0.79325"/>
        </c:manualLayout>
      </c:layout>
      <c:scatterChart>
        <c:scatterStyle val="lineMarker"/>
        <c:varyColors val="0"/>
        <c:ser>
          <c:idx val="1"/>
          <c:order val="0"/>
          <c:tx>
            <c:v>Débits moyens observés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 Gumbel_Qm'!$D$22:$D$43</c:f>
              <c:numCache>
                <c:ptCount val="22"/>
                <c:pt idx="0">
                  <c:v>-1.3308317646057786</c:v>
                </c:pt>
                <c:pt idx="1">
                  <c:v>-0.9878957310099457</c:v>
                </c:pt>
                <c:pt idx="2">
                  <c:v>-0.7769145069831563</c:v>
                </c:pt>
                <c:pt idx="3">
                  <c:v>-0.6088300716026875</c:v>
                </c:pt>
                <c:pt idx="4">
                  <c:v>-0.46182342276502475</c:v>
                </c:pt>
                <c:pt idx="5">
                  <c:v>-0.32663425997828094</c:v>
                </c:pt>
                <c:pt idx="6">
                  <c:v>-0.32663425997828094</c:v>
                </c:pt>
                <c:pt idx="7">
                  <c:v>-0.07338003774579392</c:v>
                </c:pt>
                <c:pt idx="8">
                  <c:v>-0.07338003774579392</c:v>
                </c:pt>
                <c:pt idx="9">
                  <c:v>0.1746502707915326</c:v>
                </c:pt>
                <c:pt idx="10">
                  <c:v>0.1746502707915326</c:v>
                </c:pt>
                <c:pt idx="11">
                  <c:v>0.43279198216234244</c:v>
                </c:pt>
                <c:pt idx="12">
                  <c:v>0.5703742877732065</c:v>
                </c:pt>
                <c:pt idx="13">
                  <c:v>0.7167172492150194</c:v>
                </c:pt>
                <c:pt idx="14">
                  <c:v>0.7167172492150194</c:v>
                </c:pt>
                <c:pt idx="15">
                  <c:v>1.0492439218811336</c:v>
                </c:pt>
                <c:pt idx="16">
                  <c:v>1.0492439218811336</c:v>
                </c:pt>
                <c:pt idx="17">
                  <c:v>1.4747253383029888</c:v>
                </c:pt>
                <c:pt idx="18">
                  <c:v>1.752894273451838</c:v>
                </c:pt>
                <c:pt idx="19">
                  <c:v>2.1150439503977</c:v>
                </c:pt>
                <c:pt idx="20">
                  <c:v>2.650476338042234</c:v>
                </c:pt>
                <c:pt idx="21">
                  <c:v>3.7727168962900985</c:v>
                </c:pt>
              </c:numCache>
            </c:numRef>
          </c:xVal>
          <c:yVal>
            <c:numRef>
              <c:f>' Gumbel_Qm'!$E$22:$E$43</c:f>
              <c:numCache>
                <c:ptCount val="22"/>
                <c:pt idx="0">
                  <c:v>0.45</c:v>
                </c:pt>
                <c:pt idx="1">
                  <c:v>0.52</c:v>
                </c:pt>
                <c:pt idx="2">
                  <c:v>0.56</c:v>
                </c:pt>
                <c:pt idx="3">
                  <c:v>0.58</c:v>
                </c:pt>
                <c:pt idx="4">
                  <c:v>0.59</c:v>
                </c:pt>
                <c:pt idx="5">
                  <c:v>0.6</c:v>
                </c:pt>
                <c:pt idx="6">
                  <c:v>0.6</c:v>
                </c:pt>
                <c:pt idx="7">
                  <c:v>0.65</c:v>
                </c:pt>
                <c:pt idx="8">
                  <c:v>0.65</c:v>
                </c:pt>
                <c:pt idx="9">
                  <c:v>0.67</c:v>
                </c:pt>
                <c:pt idx="10">
                  <c:v>0.67</c:v>
                </c:pt>
                <c:pt idx="11">
                  <c:v>0.69</c:v>
                </c:pt>
                <c:pt idx="12">
                  <c:v>0.7</c:v>
                </c:pt>
                <c:pt idx="13">
                  <c:v>0.73</c:v>
                </c:pt>
                <c:pt idx="14">
                  <c:v>0.73</c:v>
                </c:pt>
                <c:pt idx="15">
                  <c:v>0.76</c:v>
                </c:pt>
                <c:pt idx="16">
                  <c:v>0.76</c:v>
                </c:pt>
                <c:pt idx="17">
                  <c:v>0.85</c:v>
                </c:pt>
                <c:pt idx="18">
                  <c:v>0.87</c:v>
                </c:pt>
                <c:pt idx="19">
                  <c:v>0.89</c:v>
                </c:pt>
                <c:pt idx="20">
                  <c:v>0.9</c:v>
                </c:pt>
                <c:pt idx="21">
                  <c:v>1.08</c:v>
                </c:pt>
              </c:numCache>
            </c:numRef>
          </c:yVal>
          <c:smooth val="0"/>
        </c:ser>
        <c:ser>
          <c:idx val="3"/>
          <c:order val="1"/>
          <c:tx>
            <c:v>Droite d'ajustement des débits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Gumbel_Qm'!$D$22:$D$43</c:f>
              <c:numCache>
                <c:ptCount val="22"/>
                <c:pt idx="0">
                  <c:v>-1.3308317646057786</c:v>
                </c:pt>
                <c:pt idx="1">
                  <c:v>-0.9878957310099457</c:v>
                </c:pt>
                <c:pt idx="2">
                  <c:v>-0.7769145069831563</c:v>
                </c:pt>
                <c:pt idx="3">
                  <c:v>-0.6088300716026875</c:v>
                </c:pt>
                <c:pt idx="4">
                  <c:v>-0.46182342276502475</c:v>
                </c:pt>
                <c:pt idx="5">
                  <c:v>-0.32663425997828094</c:v>
                </c:pt>
                <c:pt idx="6">
                  <c:v>-0.32663425997828094</c:v>
                </c:pt>
                <c:pt idx="7">
                  <c:v>-0.07338003774579392</c:v>
                </c:pt>
                <c:pt idx="8">
                  <c:v>-0.07338003774579392</c:v>
                </c:pt>
                <c:pt idx="9">
                  <c:v>0.1746502707915326</c:v>
                </c:pt>
                <c:pt idx="10">
                  <c:v>0.1746502707915326</c:v>
                </c:pt>
                <c:pt idx="11">
                  <c:v>0.43279198216234244</c:v>
                </c:pt>
                <c:pt idx="12">
                  <c:v>0.5703742877732065</c:v>
                </c:pt>
                <c:pt idx="13">
                  <c:v>0.7167172492150194</c:v>
                </c:pt>
                <c:pt idx="14">
                  <c:v>0.7167172492150194</c:v>
                </c:pt>
                <c:pt idx="15">
                  <c:v>1.0492439218811336</c:v>
                </c:pt>
                <c:pt idx="16">
                  <c:v>1.0492439218811336</c:v>
                </c:pt>
                <c:pt idx="17">
                  <c:v>1.4747253383029888</c:v>
                </c:pt>
                <c:pt idx="18">
                  <c:v>1.752894273451838</c:v>
                </c:pt>
                <c:pt idx="19">
                  <c:v>2.1150439503977</c:v>
                </c:pt>
                <c:pt idx="20">
                  <c:v>2.650476338042234</c:v>
                </c:pt>
                <c:pt idx="21">
                  <c:v>3.7727168962900985</c:v>
                </c:pt>
              </c:numCache>
            </c:numRef>
          </c:xVal>
          <c:yVal>
            <c:numRef>
              <c:f>' Gumbel_Qm'!$F$22:$F$43</c:f>
              <c:numCache>
                <c:ptCount val="22"/>
                <c:pt idx="0">
                  <c:v>0.487170067988439</c:v>
                </c:pt>
                <c:pt idx="1">
                  <c:v>0.5262393662868574</c:v>
                </c:pt>
                <c:pt idx="2">
                  <c:v>0.5502755933652366</c:v>
                </c:pt>
                <c:pt idx="3">
                  <c:v>0.5694247649362247</c:v>
                </c:pt>
                <c:pt idx="4">
                  <c:v>0.5861726305806336</c:v>
                </c:pt>
                <c:pt idx="5">
                  <c:v>0.6015741784210497</c:v>
                </c:pt>
                <c:pt idx="6">
                  <c:v>0.6015741784210497</c:v>
                </c:pt>
                <c:pt idx="7">
                  <c:v>0.6304263951157704</c:v>
                </c:pt>
                <c:pt idx="8">
                  <c:v>0.6304263951157704</c:v>
                </c:pt>
                <c:pt idx="9">
                  <c:v>0.6586834727103463</c:v>
                </c:pt>
                <c:pt idx="10">
                  <c:v>0.6586834727103463</c:v>
                </c:pt>
                <c:pt idx="11">
                  <c:v>0.6880925010328018</c:v>
                </c:pt>
                <c:pt idx="12">
                  <c:v>0.7037666898374406</c:v>
                </c:pt>
                <c:pt idx="13">
                  <c:v>0.7204389442940327</c:v>
                </c:pt>
                <c:pt idx="14">
                  <c:v>0.7204389442940327</c:v>
                </c:pt>
                <c:pt idx="15">
                  <c:v>0.7583223467185332</c:v>
                </c:pt>
                <c:pt idx="16">
                  <c:v>0.7583223467185332</c:v>
                </c:pt>
                <c:pt idx="17">
                  <c:v>0.8067957025345347</c:v>
                </c:pt>
                <c:pt idx="18">
                  <c:v>0.8384863504688725</c:v>
                </c:pt>
                <c:pt idx="19">
                  <c:v>0.8797445804918773</c:v>
                </c:pt>
                <c:pt idx="20">
                  <c:v>0.9407442003106938</c:v>
                </c:pt>
                <c:pt idx="21">
                  <c:v>1.0685964725640178</c:v>
                </c:pt>
              </c:numCache>
            </c:numRef>
          </c:yVal>
          <c:smooth val="0"/>
        </c:ser>
        <c:axId val="3626108"/>
        <c:axId val="32634973"/>
      </c:scatterChart>
      <c:valAx>
        <c:axId val="3626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Variable réduite de Gumbel u [-]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32634973"/>
        <c:crosses val="autoZero"/>
        <c:crossBetween val="midCat"/>
        <c:dispUnits/>
        <c:minorUnit val="0.25"/>
      </c:valAx>
      <c:valAx>
        <c:axId val="32634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Débit moyen [m3/s]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36261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90675"/>
          <c:w val="0.917"/>
          <c:h val="0.06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"/>
          <c:w val="0.96775"/>
          <c:h val="0.8235"/>
        </c:manualLayout>
      </c:layout>
      <c:scatterChart>
        <c:scatterStyle val="lineMarker"/>
        <c:varyColors val="0"/>
        <c:ser>
          <c:idx val="0"/>
          <c:order val="0"/>
          <c:tx>
            <c:v>Droite d'ajustement des pluies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Gumbel_Pm _ GRADEX'!$D$21:$D$45</c:f>
              <c:numCache>
                <c:ptCount val="25"/>
                <c:pt idx="0">
                  <c:v>-1.2630291475004636</c:v>
                </c:pt>
                <c:pt idx="1">
                  <c:v>2.2503673273124454</c:v>
                </c:pt>
                <c:pt idx="2">
                  <c:v>2.3043833560782434</c:v>
                </c:pt>
                <c:pt idx="3">
                  <c:v>2.3611608457948767</c:v>
                </c:pt>
                <c:pt idx="4">
                  <c:v>2.421017185042538</c:v>
                </c:pt>
                <c:pt idx="5">
                  <c:v>2.4843275102530673</c:v>
                </c:pt>
                <c:pt idx="6">
                  <c:v>2.5515396319662687</c:v>
                </c:pt>
                <c:pt idx="7">
                  <c:v>2.6231941186130214</c:v>
                </c:pt>
                <c:pt idx="8">
                  <c:v>2.6999518361572314</c:v>
                </c:pt>
                <c:pt idx="9">
                  <c:v>2.7826325333778024</c:v>
                </c:pt>
                <c:pt idx="10">
                  <c:v>2.872270256310787</c:v>
                </c:pt>
                <c:pt idx="11">
                  <c:v>2.970195249042166</c:v>
                </c:pt>
                <c:pt idx="12">
                  <c:v>3.0781591535785773</c:v>
                </c:pt>
                <c:pt idx="13">
                  <c:v>3.198534261445388</c:v>
                </c:pt>
                <c:pt idx="14">
                  <c:v>3.3346465154361984</c:v>
                </c:pt>
                <c:pt idx="15">
                  <c:v>3.4913669500837896</c:v>
                </c:pt>
                <c:pt idx="16">
                  <c:v>3.6762472579541803</c:v>
                </c:pt>
                <c:pt idx="17">
                  <c:v>3.717579691183428</c:v>
                </c:pt>
                <c:pt idx="18">
                  <c:v>3.7606493090231803</c:v>
                </c:pt>
                <c:pt idx="19">
                  <c:v>3.8056106405283603</c:v>
                </c:pt>
                <c:pt idx="20">
                  <c:v>3.852639791410131</c:v>
                </c:pt>
                <c:pt idx="21">
                  <c:v>3.901938657935839</c:v>
                </c:pt>
                <c:pt idx="22">
                  <c:v>4.19215777654212</c:v>
                </c:pt>
                <c:pt idx="23">
                  <c:v>4.60014922677659</c:v>
                </c:pt>
                <c:pt idx="24">
                  <c:v>5.2958121425350475</c:v>
                </c:pt>
              </c:numCache>
            </c:numRef>
          </c:xVal>
          <c:yVal>
            <c:numRef>
              <c:f>' Gumbel_Pm _ GRADEX'!$E$21:$E$45</c:f>
              <c:numCache>
                <c:ptCount val="25"/>
                <c:pt idx="0">
                  <c:v>32.91324383438819</c:v>
                </c:pt>
                <c:pt idx="1">
                  <c:v>68.07186769097189</c:v>
                </c:pt>
                <c:pt idx="2">
                  <c:v>68.6124070952827</c:v>
                </c:pt>
                <c:pt idx="3">
                  <c:v>69.18058049067909</c:v>
                </c:pt>
                <c:pt idx="4">
                  <c:v>69.77956399058502</c:v>
                </c:pt>
                <c:pt idx="5">
                  <c:v>70.41311159224975</c:v>
                </c:pt>
                <c:pt idx="6">
                  <c:v>71.08570454407229</c:v>
                </c:pt>
                <c:pt idx="7">
                  <c:v>71.8027523243926</c:v>
                </c:pt>
                <c:pt idx="8">
                  <c:v>72.57086823120055</c:v>
                </c:pt>
                <c:pt idx="9">
                  <c:v>73.39825550577022</c:v>
                </c:pt>
                <c:pt idx="10">
                  <c:v>74.29526186601292</c:v>
                </c:pt>
                <c:pt idx="11">
                  <c:v>75.27519908923352</c:v>
                </c:pt>
                <c:pt idx="12">
                  <c:v>76.35559588956502</c:v>
                </c:pt>
                <c:pt idx="13">
                  <c:v>77.56019183241551</c:v>
                </c:pt>
                <c:pt idx="14">
                  <c:v>78.92226968916795</c:v>
                </c:pt>
                <c:pt idx="15">
                  <c:v>80.49057399297084</c:v>
                </c:pt>
                <c:pt idx="16">
                  <c:v>82.34067467175933</c:v>
                </c:pt>
                <c:pt idx="17">
                  <c:v>82.75428909967891</c:v>
                </c:pt>
                <c:pt idx="18">
                  <c:v>83.18528756629954</c:v>
                </c:pt>
                <c:pt idx="19">
                  <c:v>83.63521644674734</c:v>
                </c:pt>
                <c:pt idx="20">
                  <c:v>84.10583803414866</c:v>
                </c:pt>
                <c:pt idx="21">
                  <c:v>84.59917270820523</c:v>
                </c:pt>
                <c:pt idx="22">
                  <c:v>87.50340082484864</c:v>
                </c:pt>
                <c:pt idx="23">
                  <c:v>91.5861788541229</c:v>
                </c:pt>
                <c:pt idx="24">
                  <c:v>98.54769058827137</c:v>
                </c:pt>
              </c:numCache>
            </c:numRef>
          </c:yVal>
          <c:smooth val="0"/>
        </c:ser>
        <c:ser>
          <c:idx val="2"/>
          <c:order val="1"/>
          <c:tx>
            <c:v>Droite d'ajustement des débits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Gumbel_Qm'!$D$22:$D$43</c:f>
              <c:numCache>
                <c:ptCount val="22"/>
                <c:pt idx="0">
                  <c:v>-1.3308317646057786</c:v>
                </c:pt>
                <c:pt idx="1">
                  <c:v>-0.9878957310099457</c:v>
                </c:pt>
                <c:pt idx="2">
                  <c:v>-0.7769145069831563</c:v>
                </c:pt>
                <c:pt idx="3">
                  <c:v>-0.6088300716026875</c:v>
                </c:pt>
                <c:pt idx="4">
                  <c:v>-0.46182342276502475</c:v>
                </c:pt>
                <c:pt idx="5">
                  <c:v>-0.32663425997828094</c:v>
                </c:pt>
                <c:pt idx="6">
                  <c:v>-0.32663425997828094</c:v>
                </c:pt>
                <c:pt idx="7">
                  <c:v>-0.07338003774579392</c:v>
                </c:pt>
                <c:pt idx="8">
                  <c:v>-0.07338003774579392</c:v>
                </c:pt>
                <c:pt idx="9">
                  <c:v>0.1746502707915326</c:v>
                </c:pt>
                <c:pt idx="10">
                  <c:v>0.1746502707915326</c:v>
                </c:pt>
                <c:pt idx="11">
                  <c:v>0.43279198216234244</c:v>
                </c:pt>
                <c:pt idx="12">
                  <c:v>0.5703742877732065</c:v>
                </c:pt>
                <c:pt idx="13">
                  <c:v>0.7167172492150194</c:v>
                </c:pt>
                <c:pt idx="14">
                  <c:v>0.7167172492150194</c:v>
                </c:pt>
                <c:pt idx="15">
                  <c:v>1.0492439218811336</c:v>
                </c:pt>
                <c:pt idx="16">
                  <c:v>1.0492439218811336</c:v>
                </c:pt>
                <c:pt idx="17">
                  <c:v>1.4747253383029888</c:v>
                </c:pt>
                <c:pt idx="18">
                  <c:v>1.752894273451838</c:v>
                </c:pt>
                <c:pt idx="19">
                  <c:v>2.1150439503977</c:v>
                </c:pt>
                <c:pt idx="20">
                  <c:v>2.650476338042234</c:v>
                </c:pt>
                <c:pt idx="21">
                  <c:v>3.7727168962900985</c:v>
                </c:pt>
              </c:numCache>
            </c:numRef>
          </c:xVal>
          <c:yVal>
            <c:numRef>
              <c:f>' Gumbel_Qm'!$I$22:$I$43</c:f>
              <c:numCache>
                <c:ptCount val="22"/>
                <c:pt idx="0">
                  <c:v>10.932855551740552</c:v>
                </c:pt>
                <c:pt idx="1">
                  <c:v>11.809631492775189</c:v>
                </c:pt>
                <c:pt idx="2">
                  <c:v>12.349041887469205</c:v>
                </c:pt>
                <c:pt idx="3">
                  <c:v>12.778779140386966</c:v>
                </c:pt>
                <c:pt idx="4">
                  <c:v>13.154627346017337</c:v>
                </c:pt>
                <c:pt idx="5">
                  <c:v>13.500262081968492</c:v>
                </c:pt>
                <c:pt idx="6">
                  <c:v>13.500262081968492</c:v>
                </c:pt>
                <c:pt idx="7">
                  <c:v>14.147750789091571</c:v>
                </c:pt>
                <c:pt idx="8">
                  <c:v>14.147750789091571</c:v>
                </c:pt>
                <c:pt idx="9">
                  <c:v>14.781883647317901</c:v>
                </c:pt>
                <c:pt idx="10">
                  <c:v>14.781883647317901</c:v>
                </c:pt>
                <c:pt idx="11">
                  <c:v>15.441868075125734</c:v>
                </c:pt>
                <c:pt idx="12">
                  <c:v>15.793621299209057</c:v>
                </c:pt>
                <c:pt idx="13">
                  <c:v>16.167772671949198</c:v>
                </c:pt>
                <c:pt idx="14">
                  <c:v>16.167772671949198</c:v>
                </c:pt>
                <c:pt idx="15">
                  <c:v>17.017935261423705</c:v>
                </c:pt>
                <c:pt idx="16">
                  <c:v>17.017935261423705</c:v>
                </c:pt>
                <c:pt idx="17">
                  <c:v>18.10575290882696</c:v>
                </c:pt>
                <c:pt idx="18">
                  <c:v>18.816940436496257</c:v>
                </c:pt>
                <c:pt idx="19">
                  <c:v>19.742839416752783</c:v>
                </c:pt>
                <c:pt idx="20">
                  <c:v>21.111765949829596</c:v>
                </c:pt>
                <c:pt idx="21">
                  <c:v>23.980970189488605</c:v>
                </c:pt>
              </c:numCache>
            </c:numRef>
          </c:yVal>
          <c:smooth val="0"/>
        </c:ser>
        <c:ser>
          <c:idx val="3"/>
          <c:order val="2"/>
          <c:tx>
            <c:v>Droite d'extrapolatoion des débits (Méthode du GRADEX)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Gumbel_Pm _ GRADEX'!$D$21:$D$45</c:f>
              <c:numCache>
                <c:ptCount val="25"/>
                <c:pt idx="0">
                  <c:v>-1.2630291475004636</c:v>
                </c:pt>
                <c:pt idx="1">
                  <c:v>2.2503673273124454</c:v>
                </c:pt>
                <c:pt idx="2">
                  <c:v>2.3043833560782434</c:v>
                </c:pt>
                <c:pt idx="3">
                  <c:v>2.3611608457948767</c:v>
                </c:pt>
                <c:pt idx="4">
                  <c:v>2.421017185042538</c:v>
                </c:pt>
                <c:pt idx="5">
                  <c:v>2.4843275102530673</c:v>
                </c:pt>
                <c:pt idx="6">
                  <c:v>2.5515396319662687</c:v>
                </c:pt>
                <c:pt idx="7">
                  <c:v>2.6231941186130214</c:v>
                </c:pt>
                <c:pt idx="8">
                  <c:v>2.6999518361572314</c:v>
                </c:pt>
                <c:pt idx="9">
                  <c:v>2.7826325333778024</c:v>
                </c:pt>
                <c:pt idx="10">
                  <c:v>2.872270256310787</c:v>
                </c:pt>
                <c:pt idx="11">
                  <c:v>2.970195249042166</c:v>
                </c:pt>
                <c:pt idx="12">
                  <c:v>3.0781591535785773</c:v>
                </c:pt>
                <c:pt idx="13">
                  <c:v>3.198534261445388</c:v>
                </c:pt>
                <c:pt idx="14">
                  <c:v>3.3346465154361984</c:v>
                </c:pt>
                <c:pt idx="15">
                  <c:v>3.4913669500837896</c:v>
                </c:pt>
                <c:pt idx="16">
                  <c:v>3.6762472579541803</c:v>
                </c:pt>
                <c:pt idx="17">
                  <c:v>3.717579691183428</c:v>
                </c:pt>
                <c:pt idx="18">
                  <c:v>3.7606493090231803</c:v>
                </c:pt>
                <c:pt idx="19">
                  <c:v>3.8056106405283603</c:v>
                </c:pt>
                <c:pt idx="20">
                  <c:v>3.852639791410131</c:v>
                </c:pt>
                <c:pt idx="21">
                  <c:v>3.901938657935839</c:v>
                </c:pt>
                <c:pt idx="22">
                  <c:v>4.19215777654212</c:v>
                </c:pt>
                <c:pt idx="23">
                  <c:v>4.60014922677659</c:v>
                </c:pt>
                <c:pt idx="24">
                  <c:v>5.2958121425350475</c:v>
                </c:pt>
              </c:numCache>
            </c:numRef>
          </c:xVal>
          <c:yVal>
            <c:numRef>
              <c:f>' Gumbel_Pm _ GRADEX'!$H$21:$H$45</c:f>
              <c:numCache>
                <c:ptCount val="25"/>
                <c:pt idx="1">
                  <c:v>20.1</c:v>
                </c:pt>
                <c:pt idx="2">
                  <c:v>20.640539404310818</c:v>
                </c:pt>
                <c:pt idx="3">
                  <c:v>21.20871279970721</c:v>
                </c:pt>
                <c:pt idx="4">
                  <c:v>21.80769629961314</c:v>
                </c:pt>
                <c:pt idx="5">
                  <c:v>22.441243901277858</c:v>
                </c:pt>
                <c:pt idx="6">
                  <c:v>23.11383685310041</c:v>
                </c:pt>
                <c:pt idx="7">
                  <c:v>23.830884633420713</c:v>
                </c:pt>
                <c:pt idx="8">
                  <c:v>24.599000540228666</c:v>
                </c:pt>
                <c:pt idx="9">
                  <c:v>25.426387814798336</c:v>
                </c:pt>
                <c:pt idx="10">
                  <c:v>26.323394175041038</c:v>
                </c:pt>
                <c:pt idx="11">
                  <c:v>27.303331398261648</c:v>
                </c:pt>
                <c:pt idx="12">
                  <c:v>28.383728198593136</c:v>
                </c:pt>
                <c:pt idx="13">
                  <c:v>29.588324141443636</c:v>
                </c:pt>
                <c:pt idx="14">
                  <c:v>30.950401998196064</c:v>
                </c:pt>
                <c:pt idx="15">
                  <c:v>32.51870630199895</c:v>
                </c:pt>
                <c:pt idx="16">
                  <c:v>34.36880698078744</c:v>
                </c:pt>
                <c:pt idx="17">
                  <c:v>34.78242140870704</c:v>
                </c:pt>
                <c:pt idx="18">
                  <c:v>35.21341987532766</c:v>
                </c:pt>
                <c:pt idx="19">
                  <c:v>35.66334875577545</c:v>
                </c:pt>
                <c:pt idx="20">
                  <c:v>36.133970343176784</c:v>
                </c:pt>
                <c:pt idx="21">
                  <c:v>36.62730501723334</c:v>
                </c:pt>
                <c:pt idx="22">
                  <c:v>39.531533133876756</c:v>
                </c:pt>
                <c:pt idx="23">
                  <c:v>43.61431116315102</c:v>
                </c:pt>
                <c:pt idx="24">
                  <c:v>50.575822897299474</c:v>
                </c:pt>
              </c:numCache>
            </c:numRef>
          </c:yVal>
          <c:smooth val="0"/>
        </c:ser>
        <c:ser>
          <c:idx val="1"/>
          <c:order val="3"/>
          <c:tx>
            <c:v>Débits moyens observés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 Gumbel_Qm'!$D$22:$D$43</c:f>
              <c:numCache>
                <c:ptCount val="22"/>
                <c:pt idx="0">
                  <c:v>-1.3308317646057786</c:v>
                </c:pt>
                <c:pt idx="1">
                  <c:v>-0.9878957310099457</c:v>
                </c:pt>
                <c:pt idx="2">
                  <c:v>-0.7769145069831563</c:v>
                </c:pt>
                <c:pt idx="3">
                  <c:v>-0.6088300716026875</c:v>
                </c:pt>
                <c:pt idx="4">
                  <c:v>-0.46182342276502475</c:v>
                </c:pt>
                <c:pt idx="5">
                  <c:v>-0.32663425997828094</c:v>
                </c:pt>
                <c:pt idx="6">
                  <c:v>-0.32663425997828094</c:v>
                </c:pt>
                <c:pt idx="7">
                  <c:v>-0.07338003774579392</c:v>
                </c:pt>
                <c:pt idx="8">
                  <c:v>-0.07338003774579392</c:v>
                </c:pt>
                <c:pt idx="9">
                  <c:v>0.1746502707915326</c:v>
                </c:pt>
                <c:pt idx="10">
                  <c:v>0.1746502707915326</c:v>
                </c:pt>
                <c:pt idx="11">
                  <c:v>0.43279198216234244</c:v>
                </c:pt>
                <c:pt idx="12">
                  <c:v>0.5703742877732065</c:v>
                </c:pt>
                <c:pt idx="13">
                  <c:v>0.7167172492150194</c:v>
                </c:pt>
                <c:pt idx="14">
                  <c:v>0.7167172492150194</c:v>
                </c:pt>
                <c:pt idx="15">
                  <c:v>1.0492439218811336</c:v>
                </c:pt>
                <c:pt idx="16">
                  <c:v>1.0492439218811336</c:v>
                </c:pt>
                <c:pt idx="17">
                  <c:v>1.4747253383029888</c:v>
                </c:pt>
                <c:pt idx="18">
                  <c:v>1.752894273451838</c:v>
                </c:pt>
                <c:pt idx="19">
                  <c:v>2.1150439503977</c:v>
                </c:pt>
                <c:pt idx="20">
                  <c:v>2.650476338042234</c:v>
                </c:pt>
                <c:pt idx="21">
                  <c:v>3.7727168962900985</c:v>
                </c:pt>
              </c:numCache>
            </c:numRef>
          </c:xVal>
          <c:yVal>
            <c:numRef>
              <c:f>' Gumbel_Qm'!$H$22:$H$43</c:f>
              <c:numCache>
                <c:ptCount val="22"/>
                <c:pt idx="0">
                  <c:v>10.098701298701299</c:v>
                </c:pt>
                <c:pt idx="1">
                  <c:v>11.66961038961039</c:v>
                </c:pt>
                <c:pt idx="2">
                  <c:v>12.56727272727273</c:v>
                </c:pt>
                <c:pt idx="3">
                  <c:v>13.016103896103896</c:v>
                </c:pt>
                <c:pt idx="4">
                  <c:v>13.24051948051948</c:v>
                </c:pt>
                <c:pt idx="5">
                  <c:v>13.464935064935066</c:v>
                </c:pt>
                <c:pt idx="6">
                  <c:v>13.464935064935066</c:v>
                </c:pt>
                <c:pt idx="7">
                  <c:v>14.58701298701299</c:v>
                </c:pt>
                <c:pt idx="8">
                  <c:v>14.58701298701299</c:v>
                </c:pt>
                <c:pt idx="9">
                  <c:v>15.035844155844156</c:v>
                </c:pt>
                <c:pt idx="10">
                  <c:v>15.035844155844156</c:v>
                </c:pt>
                <c:pt idx="11">
                  <c:v>15.484675324675324</c:v>
                </c:pt>
                <c:pt idx="12">
                  <c:v>15.709090909090909</c:v>
                </c:pt>
                <c:pt idx="13">
                  <c:v>16.38233766233766</c:v>
                </c:pt>
                <c:pt idx="14">
                  <c:v>16.38233766233766</c:v>
                </c:pt>
                <c:pt idx="15">
                  <c:v>17.055584415584416</c:v>
                </c:pt>
                <c:pt idx="16">
                  <c:v>17.055584415584416</c:v>
                </c:pt>
                <c:pt idx="17">
                  <c:v>19.075324675324673</c:v>
                </c:pt>
                <c:pt idx="18">
                  <c:v>19.524155844155846</c:v>
                </c:pt>
                <c:pt idx="19">
                  <c:v>19.972987012987012</c:v>
                </c:pt>
                <c:pt idx="20">
                  <c:v>20.197402597402597</c:v>
                </c:pt>
                <c:pt idx="21">
                  <c:v>24.23688311688312</c:v>
                </c:pt>
              </c:numCache>
            </c:numRef>
          </c:yVal>
          <c:smooth val="0"/>
        </c:ser>
        <c:axId val="25279302"/>
        <c:axId val="26187127"/>
      </c:scatterChart>
      <c:valAx>
        <c:axId val="25279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Variable réduite de Gumbel u [-]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26187127"/>
        <c:crosses val="autoZero"/>
        <c:crossBetween val="midCat"/>
        <c:dispUnits/>
      </c:valAx>
      <c:valAx>
        <c:axId val="26187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Lame précipitée / écoulée [mm/24h]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25279302"/>
        <c:crossesAt val="-2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85"/>
          <c:y val="0.869"/>
          <c:w val="0.97225"/>
          <c:h val="0.125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Chart 1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M39"/>
  <sheetViews>
    <sheetView tabSelected="1" zoomScale="75" zoomScaleNormal="75" workbookViewId="0" topLeftCell="A1">
      <selection activeCell="D55" sqref="D55"/>
    </sheetView>
  </sheetViews>
  <sheetFormatPr defaultColWidth="9.140625" defaultRowHeight="12.75"/>
  <sheetData>
    <row r="5" ht="20.25">
      <c r="B5" s="1" t="s">
        <v>0</v>
      </c>
    </row>
    <row r="11" ht="12.75">
      <c r="C11" s="2" t="s">
        <v>1</v>
      </c>
    </row>
    <row r="14" spans="3:7" ht="12.75">
      <c r="C14" s="3" t="s">
        <v>2</v>
      </c>
      <c r="G14" s="3" t="s">
        <v>3</v>
      </c>
    </row>
    <row r="17" spans="3:7" ht="12.75">
      <c r="C17" s="3" t="s">
        <v>54</v>
      </c>
      <c r="G17" s="3" t="s">
        <v>55</v>
      </c>
    </row>
    <row r="20" spans="3:7" ht="12.75">
      <c r="C20" s="3" t="s">
        <v>56</v>
      </c>
      <c r="G20" s="3" t="s">
        <v>57</v>
      </c>
    </row>
    <row r="23" spans="3:9" ht="12.75">
      <c r="C23" s="3" t="s">
        <v>58</v>
      </c>
      <c r="G23" s="3" t="s">
        <v>36</v>
      </c>
      <c r="H23" s="3"/>
      <c r="I23" s="3"/>
    </row>
    <row r="24" spans="7:9" ht="12.75">
      <c r="G24" s="3"/>
      <c r="H24" s="3"/>
      <c r="I24" s="3" t="s">
        <v>43</v>
      </c>
    </row>
    <row r="26" spans="3:7" ht="12.75">
      <c r="C26" s="3" t="s">
        <v>59</v>
      </c>
      <c r="G26" s="3" t="s">
        <v>57</v>
      </c>
    </row>
    <row r="27" spans="3:7" ht="12.75">
      <c r="C27" s="3"/>
      <c r="G27" s="3"/>
    </row>
    <row r="29" spans="3:7" ht="12.75">
      <c r="C29" s="3"/>
      <c r="G29" s="3"/>
    </row>
    <row r="31" ht="12.75">
      <c r="C31" s="3"/>
    </row>
    <row r="32" ht="12.75">
      <c r="C32" s="3"/>
    </row>
    <row r="33" ht="12.75">
      <c r="C33" s="3"/>
    </row>
    <row r="37" spans="3:11" ht="12.75">
      <c r="C37" s="4"/>
      <c r="D37" s="3"/>
      <c r="H37" s="5" t="s">
        <v>4</v>
      </c>
      <c r="I37" s="4"/>
      <c r="J37" s="4"/>
      <c r="K37" s="4"/>
    </row>
    <row r="39" spans="3:13" ht="12.75">
      <c r="C39" s="6"/>
      <c r="H39" s="7" t="s">
        <v>5</v>
      </c>
      <c r="I39" s="6"/>
      <c r="J39" s="6"/>
      <c r="K39" s="6"/>
      <c r="L39" s="6"/>
      <c r="M39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5:K59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6" max="6" width="17.57421875" style="8" customWidth="1"/>
    <col min="7" max="7" width="16.7109375" style="8" customWidth="1"/>
    <col min="8" max="8" width="14.421875" style="8" customWidth="1"/>
    <col min="9" max="9" width="17.28125" style="8" bestFit="1" customWidth="1"/>
  </cols>
  <sheetData>
    <row r="5" ht="20.25">
      <c r="B5" s="1" t="s">
        <v>6</v>
      </c>
    </row>
    <row r="10" spans="9:11" ht="12.75">
      <c r="I10" s="51"/>
      <c r="J10" s="52"/>
      <c r="K10" s="53"/>
    </row>
    <row r="11" spans="6:11" s="20" customFormat="1" ht="45" customHeight="1">
      <c r="F11" s="22" t="s">
        <v>38</v>
      </c>
      <c r="G11" s="22" t="s">
        <v>27</v>
      </c>
      <c r="H11" s="22" t="s">
        <v>28</v>
      </c>
      <c r="I11" s="56"/>
      <c r="J11" s="56"/>
      <c r="K11" s="57"/>
    </row>
    <row r="12" spans="6:11" ht="15">
      <c r="F12" s="8" t="s">
        <v>17</v>
      </c>
      <c r="G12" s="8" t="s">
        <v>17</v>
      </c>
      <c r="H12" s="8" t="s">
        <v>7</v>
      </c>
      <c r="I12" s="54"/>
      <c r="J12" s="54"/>
      <c r="K12" s="53"/>
    </row>
    <row r="13" spans="1:11" ht="15">
      <c r="A13" s="8"/>
      <c r="I13" s="54"/>
      <c r="J13" s="54"/>
      <c r="K13" s="53"/>
    </row>
    <row r="14" spans="1:11" ht="15">
      <c r="A14" s="12"/>
      <c r="F14" s="13">
        <v>0.73</v>
      </c>
      <c r="G14" s="14"/>
      <c r="H14" s="14"/>
      <c r="I14" s="54"/>
      <c r="J14" s="54"/>
      <c r="K14" s="53"/>
    </row>
    <row r="15" spans="1:11" ht="15">
      <c r="A15" s="15"/>
      <c r="F15" s="13">
        <v>0.65</v>
      </c>
      <c r="G15" s="14"/>
      <c r="H15" s="14"/>
      <c r="I15" s="54"/>
      <c r="J15" s="54"/>
      <c r="K15" s="53"/>
    </row>
    <row r="16" spans="1:11" ht="15">
      <c r="A16" s="15"/>
      <c r="F16" s="13">
        <v>0.67</v>
      </c>
      <c r="G16" s="14"/>
      <c r="H16" s="14"/>
      <c r="I16" s="54"/>
      <c r="J16" s="54"/>
      <c r="K16" s="53"/>
    </row>
    <row r="17" spans="1:11" ht="15">
      <c r="A17" s="15"/>
      <c r="F17" s="13">
        <v>0.67</v>
      </c>
      <c r="G17" s="14"/>
      <c r="H17" s="14"/>
      <c r="I17" s="54"/>
      <c r="J17" s="54"/>
      <c r="K17" s="53"/>
    </row>
    <row r="18" spans="1:11" ht="15">
      <c r="A18" s="15"/>
      <c r="F18" s="13">
        <v>0.59</v>
      </c>
      <c r="G18" s="14"/>
      <c r="H18" s="14"/>
      <c r="I18" s="54"/>
      <c r="J18" s="54"/>
      <c r="K18" s="53"/>
    </row>
    <row r="19" spans="1:11" ht="15">
      <c r="A19" s="15"/>
      <c r="F19" s="13">
        <v>0.76</v>
      </c>
      <c r="G19" s="14"/>
      <c r="H19" s="14"/>
      <c r="I19" s="54"/>
      <c r="J19" s="54"/>
      <c r="K19" s="53"/>
    </row>
    <row r="20" spans="1:11" ht="15">
      <c r="A20" s="15"/>
      <c r="F20" s="13">
        <v>0.89</v>
      </c>
      <c r="G20" s="14"/>
      <c r="H20" s="14"/>
      <c r="I20" s="54"/>
      <c r="J20" s="54"/>
      <c r="K20" s="53"/>
    </row>
    <row r="21" spans="1:11" ht="15">
      <c r="A21" s="15"/>
      <c r="F21" s="13">
        <v>0.52</v>
      </c>
      <c r="G21" s="14"/>
      <c r="H21" s="14"/>
      <c r="I21" s="54"/>
      <c r="J21" s="54"/>
      <c r="K21" s="53"/>
    </row>
    <row r="22" spans="1:11" ht="15">
      <c r="A22" s="15"/>
      <c r="F22" s="13">
        <v>0.76</v>
      </c>
      <c r="G22" s="14"/>
      <c r="H22" s="14"/>
      <c r="I22" s="54"/>
      <c r="J22" s="54"/>
      <c r="K22" s="53"/>
    </row>
    <row r="23" spans="1:11" ht="15">
      <c r="A23" s="15"/>
      <c r="F23" s="13">
        <v>0.45</v>
      </c>
      <c r="G23" s="14"/>
      <c r="H23" s="14"/>
      <c r="I23" s="54"/>
      <c r="J23" s="54"/>
      <c r="K23" s="53"/>
    </row>
    <row r="24" spans="1:11" ht="15">
      <c r="A24" s="15"/>
      <c r="F24" s="13">
        <v>0.6</v>
      </c>
      <c r="G24" s="14"/>
      <c r="H24" s="14"/>
      <c r="I24" s="54"/>
      <c r="J24" s="54"/>
      <c r="K24" s="53"/>
    </row>
    <row r="25" spans="1:11" ht="15">
      <c r="A25" s="15"/>
      <c r="F25" s="13">
        <v>0.69</v>
      </c>
      <c r="G25" s="14"/>
      <c r="H25" s="14"/>
      <c r="I25" s="54"/>
      <c r="J25" s="54"/>
      <c r="K25" s="53"/>
    </row>
    <row r="26" spans="1:11" ht="15">
      <c r="A26" s="15"/>
      <c r="F26" s="13">
        <v>0.85</v>
      </c>
      <c r="G26" s="14"/>
      <c r="H26" s="14"/>
      <c r="I26" s="54"/>
      <c r="J26" s="54"/>
      <c r="K26" s="53"/>
    </row>
    <row r="27" spans="1:11" ht="15">
      <c r="A27" s="15"/>
      <c r="F27" s="13">
        <v>0.58</v>
      </c>
      <c r="G27" s="14"/>
      <c r="H27" s="14"/>
      <c r="I27" s="54"/>
      <c r="J27" s="54"/>
      <c r="K27" s="53"/>
    </row>
    <row r="28" spans="1:11" ht="15">
      <c r="A28" s="15"/>
      <c r="F28" s="13">
        <v>0.73</v>
      </c>
      <c r="G28" s="14"/>
      <c r="H28" s="14"/>
      <c r="I28" s="54"/>
      <c r="J28" s="54"/>
      <c r="K28" s="53"/>
    </row>
    <row r="29" spans="1:11" ht="15">
      <c r="A29" s="15"/>
      <c r="F29" s="13">
        <v>0.9</v>
      </c>
      <c r="G29" s="14"/>
      <c r="H29" s="14"/>
      <c r="I29" s="54"/>
      <c r="J29" s="54"/>
      <c r="K29" s="53"/>
    </row>
    <row r="30" spans="1:11" ht="15">
      <c r="A30" s="15"/>
      <c r="F30" s="13">
        <v>0.65</v>
      </c>
      <c r="G30" s="14">
        <v>3.53</v>
      </c>
      <c r="H30" s="14">
        <v>5.43</v>
      </c>
      <c r="I30" s="54"/>
      <c r="J30" s="54"/>
      <c r="K30" s="53"/>
    </row>
    <row r="31" spans="1:11" ht="15">
      <c r="A31" s="15"/>
      <c r="F31" s="13">
        <v>0.7</v>
      </c>
      <c r="G31" s="14">
        <v>5.1</v>
      </c>
      <c r="H31" s="14">
        <v>7.29</v>
      </c>
      <c r="I31" s="54"/>
      <c r="J31" s="54"/>
      <c r="K31" s="53"/>
    </row>
    <row r="32" spans="1:11" ht="15">
      <c r="A32" s="15"/>
      <c r="F32" s="13">
        <v>0.6</v>
      </c>
      <c r="G32" s="14">
        <v>2.84</v>
      </c>
      <c r="H32" s="14">
        <v>4.73</v>
      </c>
      <c r="I32" s="54"/>
      <c r="J32" s="54"/>
      <c r="K32" s="53"/>
    </row>
    <row r="33" spans="1:11" ht="15">
      <c r="A33" s="15"/>
      <c r="F33" s="13">
        <v>0.56</v>
      </c>
      <c r="G33" s="14">
        <v>3.38</v>
      </c>
      <c r="H33" s="14">
        <v>6.04</v>
      </c>
      <c r="I33" s="54"/>
      <c r="J33" s="54"/>
      <c r="K33" s="53"/>
    </row>
    <row r="34" spans="1:11" ht="12.75">
      <c r="A34" s="15"/>
      <c r="F34" s="13">
        <v>0.87</v>
      </c>
      <c r="G34" s="14">
        <v>4.78</v>
      </c>
      <c r="H34" s="14">
        <v>5.49</v>
      </c>
      <c r="I34" s="55"/>
      <c r="J34" s="53"/>
      <c r="K34" s="53"/>
    </row>
    <row r="35" spans="1:11" ht="12.75">
      <c r="A35" s="15"/>
      <c r="F35" s="13">
        <v>1.08</v>
      </c>
      <c r="G35" s="14">
        <v>7.22</v>
      </c>
      <c r="H35" s="14">
        <v>6.68</v>
      </c>
      <c r="I35" s="55"/>
      <c r="J35" s="53"/>
      <c r="K35" s="53"/>
    </row>
    <row r="36" spans="1:11" ht="12.75">
      <c r="A36" s="15"/>
      <c r="F36" s="13"/>
      <c r="G36" s="14"/>
      <c r="H36" s="14"/>
      <c r="I36" s="55"/>
      <c r="J36" s="53"/>
      <c r="K36" s="53"/>
    </row>
    <row r="37" spans="1:11" ht="12.75">
      <c r="A37" s="15"/>
      <c r="F37" s="14"/>
      <c r="G37" s="87" t="s">
        <v>42</v>
      </c>
      <c r="H37" s="86">
        <f>AVERAGE(H30:H35)</f>
        <v>5.9433333333333325</v>
      </c>
      <c r="I37" s="9" t="s">
        <v>17</v>
      </c>
      <c r="J37" s="53"/>
      <c r="K37" s="53"/>
    </row>
    <row r="38" spans="1:11" ht="12.75">
      <c r="A38" s="15"/>
      <c r="F38" s="14"/>
      <c r="G38" s="14"/>
      <c r="H38" s="14"/>
      <c r="I38" s="55"/>
      <c r="J38" s="53"/>
      <c r="K38" s="53"/>
    </row>
    <row r="39" spans="1:11" ht="12.75">
      <c r="A39" s="15"/>
      <c r="F39" s="14"/>
      <c r="G39" s="14"/>
      <c r="H39" s="14"/>
      <c r="I39" s="55"/>
      <c r="J39" s="53"/>
      <c r="K39" s="53"/>
    </row>
    <row r="40" spans="1:11" ht="12.75">
      <c r="A40" s="15"/>
      <c r="F40" s="14"/>
      <c r="G40" s="14"/>
      <c r="H40" s="14"/>
      <c r="I40" s="55"/>
      <c r="J40" s="53"/>
      <c r="K40" s="53"/>
    </row>
    <row r="41" spans="1:11" ht="12.75">
      <c r="A41" s="15"/>
      <c r="F41" s="14"/>
      <c r="G41" s="14"/>
      <c r="H41" s="14"/>
      <c r="I41" s="55"/>
      <c r="J41" s="53"/>
      <c r="K41" s="53"/>
    </row>
    <row r="42" spans="1:8" ht="12.75">
      <c r="A42" s="15"/>
      <c r="F42" s="14"/>
      <c r="G42" s="14"/>
      <c r="H42" s="14"/>
    </row>
    <row r="43" spans="1:8" ht="12.75">
      <c r="A43" s="15"/>
      <c r="F43" s="14"/>
      <c r="G43" s="14"/>
      <c r="H43" s="14"/>
    </row>
    <row r="44" spans="1:8" ht="12.75">
      <c r="A44" s="15"/>
      <c r="F44" s="14"/>
      <c r="G44" s="14"/>
      <c r="H44" s="14"/>
    </row>
    <row r="45" spans="1:8" ht="12.75">
      <c r="A45" s="15"/>
      <c r="F45" s="14"/>
      <c r="G45" s="14"/>
      <c r="H45" s="14"/>
    </row>
    <row r="46" spans="1:8" ht="12.75">
      <c r="A46" s="15"/>
      <c r="F46" s="14"/>
      <c r="G46" s="14"/>
      <c r="H46" s="14"/>
    </row>
    <row r="47" spans="1:8" ht="12.75">
      <c r="A47" s="15"/>
      <c r="F47" s="14"/>
      <c r="G47" s="14"/>
      <c r="H47" s="14"/>
    </row>
    <row r="48" spans="1:8" ht="12.75">
      <c r="A48" s="15"/>
      <c r="F48" s="14"/>
      <c r="G48" s="14"/>
      <c r="H48" s="14"/>
    </row>
    <row r="49" spans="1:8" ht="12.75">
      <c r="A49" s="15"/>
      <c r="F49" s="14"/>
      <c r="G49" s="14"/>
      <c r="H49" s="14"/>
    </row>
    <row r="50" spans="1:8" ht="12.75">
      <c r="A50" s="15"/>
      <c r="F50" s="14"/>
      <c r="G50" s="14"/>
      <c r="H50" s="14"/>
    </row>
    <row r="51" spans="1:8" ht="12.75">
      <c r="A51" s="15"/>
      <c r="F51" s="14"/>
      <c r="G51" s="14"/>
      <c r="H51" s="14"/>
    </row>
    <row r="52" spans="1:8" ht="12.75">
      <c r="A52" s="15"/>
      <c r="F52" s="14"/>
      <c r="G52" s="14"/>
      <c r="H52" s="14"/>
    </row>
    <row r="53" spans="1:8" ht="12.75">
      <c r="A53" s="15"/>
      <c r="F53" s="14"/>
      <c r="G53" s="14"/>
      <c r="H53" s="14"/>
    </row>
    <row r="54" spans="1:8" ht="12.75">
      <c r="A54" s="15"/>
      <c r="F54" s="14"/>
      <c r="G54" s="14"/>
      <c r="H54" s="14"/>
    </row>
    <row r="55" spans="1:8" ht="12.75">
      <c r="A55" s="15"/>
      <c r="F55" s="14"/>
      <c r="G55" s="14"/>
      <c r="H55" s="14"/>
    </row>
    <row r="56" spans="1:8" ht="12.75">
      <c r="A56" s="15"/>
      <c r="F56" s="14"/>
      <c r="G56" s="14"/>
      <c r="H56" s="14"/>
    </row>
    <row r="57" spans="6:8" ht="12.75">
      <c r="F57" s="14"/>
      <c r="G57" s="14"/>
      <c r="H57" s="14"/>
    </row>
    <row r="58" spans="6:8" ht="12.75">
      <c r="F58" s="14"/>
      <c r="G58" s="14"/>
      <c r="H58" s="14"/>
    </row>
    <row r="59" spans="6:8" ht="12.75">
      <c r="F59" s="14"/>
      <c r="G59" s="14"/>
      <c r="H59" s="1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I81"/>
  <sheetViews>
    <sheetView zoomScale="75" zoomScaleNormal="75" workbookViewId="0" topLeftCell="B1">
      <selection activeCell="B5" sqref="B5"/>
    </sheetView>
  </sheetViews>
  <sheetFormatPr defaultColWidth="9.140625" defaultRowHeight="12.75"/>
  <cols>
    <col min="2" max="2" width="15.57421875" style="0" customWidth="1"/>
    <col min="3" max="3" width="27.00390625" style="0" customWidth="1"/>
    <col min="4" max="4" width="21.00390625" style="0" customWidth="1"/>
    <col min="5" max="5" width="18.421875" style="8" customWidth="1"/>
    <col min="6" max="6" width="19.00390625" style="8" customWidth="1"/>
    <col min="7" max="7" width="9.421875" style="8" customWidth="1"/>
    <col min="8" max="9" width="14.8515625" style="0" customWidth="1"/>
  </cols>
  <sheetData>
    <row r="2" ht="15">
      <c r="C2" s="50"/>
    </row>
    <row r="5" spans="2:7" ht="20.25">
      <c r="B5" s="1" t="s">
        <v>55</v>
      </c>
      <c r="E5" s="16"/>
      <c r="F5" s="16"/>
      <c r="G5" s="16"/>
    </row>
    <row r="6" spans="4:6" ht="20.25">
      <c r="D6" s="1" t="s">
        <v>35</v>
      </c>
      <c r="F6" s="1"/>
    </row>
    <row r="7" ht="20.25">
      <c r="C7" s="1"/>
    </row>
    <row r="8" ht="13.5" thickBot="1"/>
    <row r="9" spans="3:6" ht="13.5" thickBot="1">
      <c r="C9" s="78" t="s">
        <v>32</v>
      </c>
      <c r="D9" s="79"/>
      <c r="E9" s="80"/>
      <c r="F9" s="81"/>
    </row>
    <row r="10" spans="3:6" ht="12.75">
      <c r="C10" s="58" t="s">
        <v>40</v>
      </c>
      <c r="D10" s="77" t="s">
        <v>19</v>
      </c>
      <c r="E10" s="82">
        <f>AVERAGE(E22:E43)</f>
        <v>0.7045454545454546</v>
      </c>
      <c r="F10" s="83" t="s">
        <v>17</v>
      </c>
    </row>
    <row r="11" spans="3:6" ht="12.75">
      <c r="C11" s="59" t="s">
        <v>41</v>
      </c>
      <c r="D11" s="70" t="s">
        <v>22</v>
      </c>
      <c r="E11" s="84">
        <f>STDEV(E22:E43)</f>
        <v>0.14611565128275472</v>
      </c>
      <c r="F11" s="71" t="s">
        <v>17</v>
      </c>
    </row>
    <row r="12" spans="3:6" ht="12.75">
      <c r="C12" s="69"/>
      <c r="D12" s="70" t="s">
        <v>23</v>
      </c>
      <c r="E12" s="85">
        <v>0.57721</v>
      </c>
      <c r="F12" s="71" t="s">
        <v>17</v>
      </c>
    </row>
    <row r="13" spans="3:6" ht="12.75">
      <c r="C13" s="59"/>
      <c r="D13" s="70"/>
      <c r="E13" s="43"/>
      <c r="F13" s="71"/>
    </row>
    <row r="14" spans="3:6" ht="12.75">
      <c r="C14" s="59" t="s">
        <v>30</v>
      </c>
      <c r="D14" s="60"/>
      <c r="E14" s="41"/>
      <c r="F14" s="62"/>
    </row>
    <row r="15" spans="3:6" ht="12.75">
      <c r="C15" s="61" t="s">
        <v>21</v>
      </c>
      <c r="D15" s="38" t="s">
        <v>18</v>
      </c>
      <c r="E15" s="41"/>
      <c r="F15" s="62"/>
    </row>
    <row r="16" spans="3:6" ht="13.5" thickBot="1">
      <c r="C16" s="45">
        <f>E11*SQRT(6)/PI()</f>
        <v>0.11392590591533913</v>
      </c>
      <c r="D16" s="46">
        <f>E10-C16*E12</f>
        <v>0.6387862823920617</v>
      </c>
      <c r="E16" s="63"/>
      <c r="F16" s="64"/>
    </row>
    <row r="18" spans="1:9" s="20" customFormat="1" ht="14.25" customHeight="1">
      <c r="A18" s="23"/>
      <c r="G18" s="17" t="s">
        <v>8</v>
      </c>
      <c r="H18" s="18">
        <v>3.85</v>
      </c>
      <c r="I18" t="s">
        <v>9</v>
      </c>
    </row>
    <row r="19" spans="1:9" s="20" customFormat="1" ht="39.75" customHeight="1">
      <c r="A19" s="24"/>
      <c r="B19" s="21" t="s">
        <v>11</v>
      </c>
      <c r="C19" s="22" t="s">
        <v>12</v>
      </c>
      <c r="D19" s="22" t="s">
        <v>13</v>
      </c>
      <c r="E19" s="22" t="s">
        <v>39</v>
      </c>
      <c r="F19" s="22" t="s">
        <v>37</v>
      </c>
      <c r="H19" s="22" t="s">
        <v>53</v>
      </c>
      <c r="I19" s="22" t="s">
        <v>52</v>
      </c>
    </row>
    <row r="20" spans="1:9" ht="12.75">
      <c r="A20" s="19"/>
      <c r="B20" s="8" t="s">
        <v>7</v>
      </c>
      <c r="C20" s="8" t="s">
        <v>7</v>
      </c>
      <c r="D20" s="8" t="s">
        <v>7</v>
      </c>
      <c r="E20" s="8" t="s">
        <v>17</v>
      </c>
      <c r="F20" s="8" t="s">
        <v>16</v>
      </c>
      <c r="H20" s="8" t="s">
        <v>16</v>
      </c>
      <c r="I20" s="8" t="s">
        <v>16</v>
      </c>
    </row>
    <row r="21" spans="1:9" ht="12.75">
      <c r="A21" s="30"/>
      <c r="F21"/>
      <c r="H21" s="8"/>
      <c r="I21" s="8"/>
    </row>
    <row r="22" spans="1:9" ht="12.75">
      <c r="A22" s="30"/>
      <c r="B22" s="26">
        <f aca="true" t="shared" si="0" ref="B22:B43">RANK(E22,$E$22:$E$43,1)</f>
        <v>1</v>
      </c>
      <c r="C22" s="27">
        <f aca="true" t="shared" si="1" ref="C22:C43">(B22-0.5)/COUNT($E$22:$E$43)</f>
        <v>0.022727272727272728</v>
      </c>
      <c r="D22" s="49">
        <f aca="true" t="shared" si="2" ref="D22:D43">-LN(-LN(C22))</f>
        <v>-1.3308317646057786</v>
      </c>
      <c r="E22" s="13">
        <v>0.45</v>
      </c>
      <c r="F22" s="49">
        <f aca="true" t="shared" si="3" ref="F22:F43">C$16*D22+D$16</f>
        <v>0.487170067988439</v>
      </c>
      <c r="H22" s="29">
        <f>E22*3.6*24/$H$18</f>
        <v>10.098701298701299</v>
      </c>
      <c r="I22" s="29">
        <f>F22*3.6*24/$H$18</f>
        <v>10.932855551740552</v>
      </c>
    </row>
    <row r="23" spans="1:9" ht="12.75">
      <c r="A23" s="30"/>
      <c r="B23" s="26">
        <f t="shared" si="0"/>
        <v>2</v>
      </c>
      <c r="C23" s="27">
        <f t="shared" si="1"/>
        <v>0.06818181818181818</v>
      </c>
      <c r="D23" s="49">
        <f t="shared" si="2"/>
        <v>-0.9878957310099457</v>
      </c>
      <c r="E23" s="13">
        <v>0.52</v>
      </c>
      <c r="F23" s="49">
        <f t="shared" si="3"/>
        <v>0.5262393662868574</v>
      </c>
      <c r="H23" s="29">
        <f aca="true" t="shared" si="4" ref="H23:H43">E23*3.6*24/$H$18</f>
        <v>11.66961038961039</v>
      </c>
      <c r="I23" s="29">
        <f aca="true" t="shared" si="5" ref="I23:I43">F23*3.6*24/$H$18</f>
        <v>11.809631492775189</v>
      </c>
    </row>
    <row r="24" spans="1:9" ht="12.75">
      <c r="A24" s="30"/>
      <c r="B24" s="26">
        <f t="shared" si="0"/>
        <v>3</v>
      </c>
      <c r="C24" s="27">
        <f t="shared" si="1"/>
        <v>0.11363636363636363</v>
      </c>
      <c r="D24" s="49">
        <f t="shared" si="2"/>
        <v>-0.7769145069831563</v>
      </c>
      <c r="E24" s="13">
        <v>0.56</v>
      </c>
      <c r="F24" s="49">
        <f t="shared" si="3"/>
        <v>0.5502755933652366</v>
      </c>
      <c r="H24" s="29">
        <f t="shared" si="4"/>
        <v>12.56727272727273</v>
      </c>
      <c r="I24" s="29">
        <f t="shared" si="5"/>
        <v>12.349041887469205</v>
      </c>
    </row>
    <row r="25" spans="1:9" ht="12.75">
      <c r="A25" s="30"/>
      <c r="B25" s="26">
        <f t="shared" si="0"/>
        <v>4</v>
      </c>
      <c r="C25" s="27">
        <f t="shared" si="1"/>
        <v>0.1590909090909091</v>
      </c>
      <c r="D25" s="49">
        <f t="shared" si="2"/>
        <v>-0.6088300716026875</v>
      </c>
      <c r="E25" s="13">
        <v>0.58</v>
      </c>
      <c r="F25" s="49">
        <f t="shared" si="3"/>
        <v>0.5694247649362247</v>
      </c>
      <c r="H25" s="29">
        <f t="shared" si="4"/>
        <v>13.016103896103896</v>
      </c>
      <c r="I25" s="29">
        <f t="shared" si="5"/>
        <v>12.778779140386966</v>
      </c>
    </row>
    <row r="26" spans="1:9" ht="12.75">
      <c r="A26" s="30"/>
      <c r="B26" s="26">
        <f t="shared" si="0"/>
        <v>5</v>
      </c>
      <c r="C26" s="27">
        <f t="shared" si="1"/>
        <v>0.20454545454545456</v>
      </c>
      <c r="D26" s="49">
        <f t="shared" si="2"/>
        <v>-0.46182342276502475</v>
      </c>
      <c r="E26" s="13">
        <v>0.59</v>
      </c>
      <c r="F26" s="49">
        <f t="shared" si="3"/>
        <v>0.5861726305806336</v>
      </c>
      <c r="H26" s="29">
        <f t="shared" si="4"/>
        <v>13.24051948051948</v>
      </c>
      <c r="I26" s="29">
        <f t="shared" si="5"/>
        <v>13.154627346017337</v>
      </c>
    </row>
    <row r="27" spans="1:9" ht="12.75">
      <c r="A27" s="30"/>
      <c r="B27" s="26">
        <f t="shared" si="0"/>
        <v>6</v>
      </c>
      <c r="C27" s="27">
        <f t="shared" si="1"/>
        <v>0.25</v>
      </c>
      <c r="D27" s="49">
        <f t="shared" si="2"/>
        <v>-0.32663425997828094</v>
      </c>
      <c r="E27" s="13">
        <v>0.6</v>
      </c>
      <c r="F27" s="49">
        <f t="shared" si="3"/>
        <v>0.6015741784210497</v>
      </c>
      <c r="H27" s="29">
        <f t="shared" si="4"/>
        <v>13.464935064935066</v>
      </c>
      <c r="I27" s="29">
        <f t="shared" si="5"/>
        <v>13.500262081968492</v>
      </c>
    </row>
    <row r="28" spans="1:9" ht="12.75">
      <c r="A28" s="30"/>
      <c r="B28" s="26">
        <f t="shared" si="0"/>
        <v>6</v>
      </c>
      <c r="C28" s="27">
        <f t="shared" si="1"/>
        <v>0.25</v>
      </c>
      <c r="D28" s="49">
        <f t="shared" si="2"/>
        <v>-0.32663425997828094</v>
      </c>
      <c r="E28" s="13">
        <v>0.6</v>
      </c>
      <c r="F28" s="49">
        <f t="shared" si="3"/>
        <v>0.6015741784210497</v>
      </c>
      <c r="H28" s="29">
        <f t="shared" si="4"/>
        <v>13.464935064935066</v>
      </c>
      <c r="I28" s="29">
        <f t="shared" si="5"/>
        <v>13.500262081968492</v>
      </c>
    </row>
    <row r="29" spans="1:9" ht="12.75">
      <c r="A29" s="30"/>
      <c r="B29" s="26">
        <f t="shared" si="0"/>
        <v>8</v>
      </c>
      <c r="C29" s="27">
        <f t="shared" si="1"/>
        <v>0.3409090909090909</v>
      </c>
      <c r="D29" s="49">
        <f t="shared" si="2"/>
        <v>-0.07338003774579392</v>
      </c>
      <c r="E29" s="13">
        <v>0.65</v>
      </c>
      <c r="F29" s="49">
        <f t="shared" si="3"/>
        <v>0.6304263951157704</v>
      </c>
      <c r="H29" s="29">
        <f t="shared" si="4"/>
        <v>14.58701298701299</v>
      </c>
      <c r="I29" s="29">
        <f t="shared" si="5"/>
        <v>14.147750789091571</v>
      </c>
    </row>
    <row r="30" spans="1:9" ht="12.75">
      <c r="A30" s="30"/>
      <c r="B30" s="26">
        <f t="shared" si="0"/>
        <v>8</v>
      </c>
      <c r="C30" s="27">
        <f t="shared" si="1"/>
        <v>0.3409090909090909</v>
      </c>
      <c r="D30" s="49">
        <f t="shared" si="2"/>
        <v>-0.07338003774579392</v>
      </c>
      <c r="E30" s="13">
        <v>0.65</v>
      </c>
      <c r="F30" s="49">
        <f t="shared" si="3"/>
        <v>0.6304263951157704</v>
      </c>
      <c r="H30" s="29">
        <f t="shared" si="4"/>
        <v>14.58701298701299</v>
      </c>
      <c r="I30" s="29">
        <f t="shared" si="5"/>
        <v>14.147750789091571</v>
      </c>
    </row>
    <row r="31" spans="1:9" ht="12.75">
      <c r="A31" s="30"/>
      <c r="B31" s="26">
        <f t="shared" si="0"/>
        <v>10</v>
      </c>
      <c r="C31" s="27">
        <f t="shared" si="1"/>
        <v>0.4318181818181818</v>
      </c>
      <c r="D31" s="49">
        <f t="shared" si="2"/>
        <v>0.1746502707915326</v>
      </c>
      <c r="E31" s="13">
        <v>0.67</v>
      </c>
      <c r="F31" s="49">
        <f t="shared" si="3"/>
        <v>0.6586834727103463</v>
      </c>
      <c r="H31" s="29">
        <f t="shared" si="4"/>
        <v>15.035844155844156</v>
      </c>
      <c r="I31" s="29">
        <f t="shared" si="5"/>
        <v>14.781883647317901</v>
      </c>
    </row>
    <row r="32" spans="1:9" ht="12.75">
      <c r="A32" s="30"/>
      <c r="B32" s="26">
        <f t="shared" si="0"/>
        <v>10</v>
      </c>
      <c r="C32" s="27">
        <f t="shared" si="1"/>
        <v>0.4318181818181818</v>
      </c>
      <c r="D32" s="49">
        <f t="shared" si="2"/>
        <v>0.1746502707915326</v>
      </c>
      <c r="E32" s="13">
        <v>0.67</v>
      </c>
      <c r="F32" s="49">
        <f t="shared" si="3"/>
        <v>0.6586834727103463</v>
      </c>
      <c r="H32" s="29">
        <f t="shared" si="4"/>
        <v>15.035844155844156</v>
      </c>
      <c r="I32" s="29">
        <f t="shared" si="5"/>
        <v>14.781883647317901</v>
      </c>
    </row>
    <row r="33" spans="1:9" ht="12.75">
      <c r="A33" s="30"/>
      <c r="B33" s="26">
        <f t="shared" si="0"/>
        <v>12</v>
      </c>
      <c r="C33" s="27">
        <f t="shared" si="1"/>
        <v>0.5227272727272727</v>
      </c>
      <c r="D33" s="49">
        <f t="shared" si="2"/>
        <v>0.43279198216234244</v>
      </c>
      <c r="E33" s="13">
        <v>0.69</v>
      </c>
      <c r="F33" s="49">
        <f t="shared" si="3"/>
        <v>0.6880925010328018</v>
      </c>
      <c r="H33" s="29">
        <f t="shared" si="4"/>
        <v>15.484675324675324</v>
      </c>
      <c r="I33" s="29">
        <f t="shared" si="5"/>
        <v>15.441868075125734</v>
      </c>
    </row>
    <row r="34" spans="1:9" ht="12.75">
      <c r="A34" s="30"/>
      <c r="B34" s="26">
        <f t="shared" si="0"/>
        <v>13</v>
      </c>
      <c r="C34" s="27">
        <f t="shared" si="1"/>
        <v>0.5681818181818182</v>
      </c>
      <c r="D34" s="49">
        <f t="shared" si="2"/>
        <v>0.5703742877732065</v>
      </c>
      <c r="E34" s="13">
        <v>0.7</v>
      </c>
      <c r="F34" s="49">
        <f t="shared" si="3"/>
        <v>0.7037666898374406</v>
      </c>
      <c r="H34" s="29">
        <f t="shared" si="4"/>
        <v>15.709090909090909</v>
      </c>
      <c r="I34" s="29">
        <f t="shared" si="5"/>
        <v>15.793621299209057</v>
      </c>
    </row>
    <row r="35" spans="1:9" ht="12.75">
      <c r="A35" s="30"/>
      <c r="B35" s="26">
        <f t="shared" si="0"/>
        <v>14</v>
      </c>
      <c r="C35" s="27">
        <f t="shared" si="1"/>
        <v>0.6136363636363636</v>
      </c>
      <c r="D35" s="49">
        <f t="shared" si="2"/>
        <v>0.7167172492150194</v>
      </c>
      <c r="E35" s="13">
        <v>0.73</v>
      </c>
      <c r="F35" s="49">
        <f t="shared" si="3"/>
        <v>0.7204389442940327</v>
      </c>
      <c r="H35" s="29">
        <f t="shared" si="4"/>
        <v>16.38233766233766</v>
      </c>
      <c r="I35" s="29">
        <f t="shared" si="5"/>
        <v>16.167772671949198</v>
      </c>
    </row>
    <row r="36" spans="1:9" ht="12.75">
      <c r="A36" s="30"/>
      <c r="B36" s="26">
        <f t="shared" si="0"/>
        <v>14</v>
      </c>
      <c r="C36" s="27">
        <f t="shared" si="1"/>
        <v>0.6136363636363636</v>
      </c>
      <c r="D36" s="49">
        <f t="shared" si="2"/>
        <v>0.7167172492150194</v>
      </c>
      <c r="E36" s="13">
        <v>0.73</v>
      </c>
      <c r="F36" s="49">
        <f t="shared" si="3"/>
        <v>0.7204389442940327</v>
      </c>
      <c r="H36" s="29">
        <f t="shared" si="4"/>
        <v>16.38233766233766</v>
      </c>
      <c r="I36" s="29">
        <f t="shared" si="5"/>
        <v>16.167772671949198</v>
      </c>
    </row>
    <row r="37" spans="1:9" ht="12.75">
      <c r="A37" s="30"/>
      <c r="B37" s="26">
        <f t="shared" si="0"/>
        <v>16</v>
      </c>
      <c r="C37" s="27">
        <f t="shared" si="1"/>
        <v>0.7045454545454546</v>
      </c>
      <c r="D37" s="49">
        <f t="shared" si="2"/>
        <v>1.0492439218811336</v>
      </c>
      <c r="E37" s="13">
        <v>0.76</v>
      </c>
      <c r="F37" s="49">
        <f t="shared" si="3"/>
        <v>0.7583223467185332</v>
      </c>
      <c r="H37" s="29">
        <f t="shared" si="4"/>
        <v>17.055584415584416</v>
      </c>
      <c r="I37" s="29">
        <f t="shared" si="5"/>
        <v>17.017935261423705</v>
      </c>
    </row>
    <row r="38" spans="1:9" ht="12.75">
      <c r="A38" s="30"/>
      <c r="B38" s="26">
        <f t="shared" si="0"/>
        <v>16</v>
      </c>
      <c r="C38" s="27">
        <f t="shared" si="1"/>
        <v>0.7045454545454546</v>
      </c>
      <c r="D38" s="49">
        <f t="shared" si="2"/>
        <v>1.0492439218811336</v>
      </c>
      <c r="E38" s="13">
        <v>0.76</v>
      </c>
      <c r="F38" s="49">
        <f t="shared" si="3"/>
        <v>0.7583223467185332</v>
      </c>
      <c r="H38" s="29">
        <f t="shared" si="4"/>
        <v>17.055584415584416</v>
      </c>
      <c r="I38" s="29">
        <f t="shared" si="5"/>
        <v>17.017935261423705</v>
      </c>
    </row>
    <row r="39" spans="1:9" ht="12.75">
      <c r="A39" s="30"/>
      <c r="B39" s="26">
        <f t="shared" si="0"/>
        <v>18</v>
      </c>
      <c r="C39" s="27">
        <f t="shared" si="1"/>
        <v>0.7954545454545454</v>
      </c>
      <c r="D39" s="49">
        <f t="shared" si="2"/>
        <v>1.4747253383029888</v>
      </c>
      <c r="E39" s="13">
        <v>0.85</v>
      </c>
      <c r="F39" s="49">
        <f t="shared" si="3"/>
        <v>0.8067957025345347</v>
      </c>
      <c r="H39" s="29">
        <f t="shared" si="4"/>
        <v>19.075324675324673</v>
      </c>
      <c r="I39" s="29">
        <f t="shared" si="5"/>
        <v>18.10575290882696</v>
      </c>
    </row>
    <row r="40" spans="1:9" ht="12.75">
      <c r="A40" s="30"/>
      <c r="B40" s="26">
        <f t="shared" si="0"/>
        <v>19</v>
      </c>
      <c r="C40" s="27">
        <f t="shared" si="1"/>
        <v>0.8409090909090909</v>
      </c>
      <c r="D40" s="49">
        <f t="shared" si="2"/>
        <v>1.752894273451838</v>
      </c>
      <c r="E40" s="13">
        <v>0.87</v>
      </c>
      <c r="F40" s="49">
        <f t="shared" si="3"/>
        <v>0.8384863504688725</v>
      </c>
      <c r="H40" s="29">
        <f t="shared" si="4"/>
        <v>19.524155844155846</v>
      </c>
      <c r="I40" s="29">
        <f t="shared" si="5"/>
        <v>18.816940436496257</v>
      </c>
    </row>
    <row r="41" spans="1:9" ht="12.75">
      <c r="A41" s="30"/>
      <c r="B41" s="26">
        <f t="shared" si="0"/>
        <v>20</v>
      </c>
      <c r="C41" s="27">
        <f t="shared" si="1"/>
        <v>0.8863636363636364</v>
      </c>
      <c r="D41" s="49">
        <f t="shared" si="2"/>
        <v>2.1150439503977</v>
      </c>
      <c r="E41" s="13">
        <v>0.89</v>
      </c>
      <c r="F41" s="49">
        <f t="shared" si="3"/>
        <v>0.8797445804918773</v>
      </c>
      <c r="H41" s="29">
        <f t="shared" si="4"/>
        <v>19.972987012987012</v>
      </c>
      <c r="I41" s="29">
        <f t="shared" si="5"/>
        <v>19.742839416752783</v>
      </c>
    </row>
    <row r="42" spans="1:9" ht="12.75">
      <c r="A42" s="30"/>
      <c r="B42" s="26">
        <f t="shared" si="0"/>
        <v>21</v>
      </c>
      <c r="C42" s="27">
        <f t="shared" si="1"/>
        <v>0.9318181818181818</v>
      </c>
      <c r="D42" s="49">
        <f t="shared" si="2"/>
        <v>2.650476338042234</v>
      </c>
      <c r="E42" s="13">
        <v>0.9</v>
      </c>
      <c r="F42" s="49">
        <f t="shared" si="3"/>
        <v>0.9407442003106938</v>
      </c>
      <c r="H42" s="29">
        <f t="shared" si="4"/>
        <v>20.197402597402597</v>
      </c>
      <c r="I42" s="29">
        <f t="shared" si="5"/>
        <v>21.111765949829596</v>
      </c>
    </row>
    <row r="43" spans="1:9" ht="12.75">
      <c r="A43" s="30"/>
      <c r="B43" s="26">
        <f t="shared" si="0"/>
        <v>22</v>
      </c>
      <c r="C43" s="27">
        <f t="shared" si="1"/>
        <v>0.9772727272727273</v>
      </c>
      <c r="D43" s="49">
        <f t="shared" si="2"/>
        <v>3.7727168962900985</v>
      </c>
      <c r="E43" s="13">
        <v>1.08</v>
      </c>
      <c r="F43" s="49">
        <f t="shared" si="3"/>
        <v>1.0685964725640178</v>
      </c>
      <c r="H43" s="29">
        <f t="shared" si="4"/>
        <v>24.23688311688312</v>
      </c>
      <c r="I43" s="29">
        <f t="shared" si="5"/>
        <v>23.980970189488605</v>
      </c>
    </row>
    <row r="44" spans="1:6" ht="12.75">
      <c r="A44" s="40"/>
      <c r="B44" s="42"/>
      <c r="C44" s="31"/>
      <c r="D44" s="32"/>
      <c r="E44" s="30"/>
      <c r="F44" s="30"/>
    </row>
    <row r="45" spans="1:6" ht="12.75">
      <c r="A45" s="37"/>
      <c r="B45" s="53"/>
      <c r="D45" s="53"/>
      <c r="E45"/>
      <c r="F45"/>
    </row>
    <row r="46" spans="1:2" ht="12.75">
      <c r="A46" s="37"/>
      <c r="B46" s="37"/>
    </row>
    <row r="47" spans="1:8" ht="12.75">
      <c r="A47" s="36"/>
      <c r="B47" s="44"/>
      <c r="D47" s="48" t="s">
        <v>24</v>
      </c>
      <c r="E47" s="18">
        <v>10</v>
      </c>
      <c r="F47" s="18">
        <v>20</v>
      </c>
      <c r="G47" s="18">
        <v>100</v>
      </c>
      <c r="H47" t="s">
        <v>25</v>
      </c>
    </row>
    <row r="48" spans="4:8" ht="12.75">
      <c r="D48" s="48" t="s">
        <v>33</v>
      </c>
      <c r="E48" s="49">
        <f>1-(1/E47)</f>
        <v>0.9</v>
      </c>
      <c r="F48" s="49">
        <f>1-(1/F47)</f>
        <v>0.95</v>
      </c>
      <c r="G48" s="49">
        <f>1-1/G47</f>
        <v>0.99</v>
      </c>
      <c r="H48" s="8"/>
    </row>
    <row r="49" spans="1:8" ht="12.75">
      <c r="A49" s="32"/>
      <c r="D49" s="48" t="s">
        <v>26</v>
      </c>
      <c r="E49" s="49">
        <f>-LN(-LN(E48))</f>
        <v>2.2503673273124454</v>
      </c>
      <c r="F49" s="49">
        <f>-LN(-LN(F48))</f>
        <v>2.9701952490421637</v>
      </c>
      <c r="G49" s="49">
        <f>-LN(-LN(G48))</f>
        <v>4.600149226776579</v>
      </c>
      <c r="H49" t="s">
        <v>7</v>
      </c>
    </row>
    <row r="50" spans="1:8" ht="12.75">
      <c r="A50" s="32"/>
      <c r="D50" s="48" t="s">
        <v>34</v>
      </c>
      <c r="E50" s="33">
        <f>C16*(E49)+D16</f>
        <v>0.8951614187984125</v>
      </c>
      <c r="F50" s="33">
        <f>C16*(F49)+D16</f>
        <v>0.9771684668846266</v>
      </c>
      <c r="G50" s="33">
        <f>C16*(G49)+D16</f>
        <v>1.1628624503983302</v>
      </c>
      <c r="H50" s="9" t="s">
        <v>17</v>
      </c>
    </row>
    <row r="51" spans="1:6" ht="12.75">
      <c r="A51" s="32"/>
      <c r="E51"/>
      <c r="F51"/>
    </row>
    <row r="52" ht="12.75">
      <c r="A52" s="32"/>
    </row>
    <row r="53" spans="1:7" ht="12.75">
      <c r="A53" s="32"/>
      <c r="E53" s="87" t="s">
        <v>42</v>
      </c>
      <c r="F53" s="86">
        <f>données!H37</f>
        <v>5.9433333333333325</v>
      </c>
      <c r="G53" s="9" t="s">
        <v>17</v>
      </c>
    </row>
    <row r="54" ht="12.75">
      <c r="A54" s="32"/>
    </row>
    <row r="55" ht="12.75">
      <c r="A55" s="32"/>
    </row>
    <row r="56" spans="2:8" ht="12.75">
      <c r="B56" s="73"/>
      <c r="C56" s="73"/>
      <c r="D56" s="48" t="s">
        <v>48</v>
      </c>
      <c r="E56" s="33">
        <f>E50*$F$53</f>
        <v>5.320242699058564</v>
      </c>
      <c r="F56" s="33">
        <f>F50*$F$53</f>
        <v>5.80763792151763</v>
      </c>
      <c r="G56" s="33">
        <f>G50*$F$53</f>
        <v>6.911279163534075</v>
      </c>
      <c r="H56" s="9" t="s">
        <v>17</v>
      </c>
    </row>
    <row r="57" spans="2:7" ht="12.75">
      <c r="B57" s="73"/>
      <c r="C57" s="73"/>
      <c r="D57" s="74"/>
      <c r="E57" s="30"/>
      <c r="F57" s="19"/>
      <c r="G57" s="32"/>
    </row>
    <row r="58" spans="2:8" ht="12.75">
      <c r="B58" s="73"/>
      <c r="D58" s="48" t="s">
        <v>50</v>
      </c>
      <c r="E58" s="33">
        <f>E50*60*60*24*1000/($H$18*1000000)</f>
        <v>20.088817294592943</v>
      </c>
      <c r="F58" s="33">
        <f>F50*60*60*24*1000/($H$18*1000000)</f>
        <v>21.92918325683941</v>
      </c>
      <c r="G58" s="33">
        <f>G50*60*60*24*1000/($H$18*1000000)</f>
        <v>26.09644564010798</v>
      </c>
      <c r="H58" s="9" t="s">
        <v>20</v>
      </c>
    </row>
    <row r="59" spans="2:7" ht="12.75">
      <c r="B59" s="72"/>
      <c r="C59" s="73"/>
      <c r="D59" s="74"/>
      <c r="E59" s="30"/>
      <c r="F59" s="19"/>
      <c r="G59" s="32"/>
    </row>
    <row r="60" spans="2:7" ht="12.75">
      <c r="B60" s="72"/>
      <c r="C60" s="73"/>
      <c r="D60" s="74"/>
      <c r="E60" s="30"/>
      <c r="F60" s="19"/>
      <c r="G60" s="32"/>
    </row>
    <row r="61" spans="2:7" ht="12.75">
      <c r="B61" s="72"/>
      <c r="C61" s="73"/>
      <c r="D61" s="74"/>
      <c r="E61" s="30"/>
      <c r="F61" s="19"/>
      <c r="G61" s="32"/>
    </row>
    <row r="62" spans="2:7" ht="12.75">
      <c r="B62" s="72"/>
      <c r="C62" s="73"/>
      <c r="D62" s="74"/>
      <c r="E62" s="30"/>
      <c r="F62" s="19"/>
      <c r="G62" s="39"/>
    </row>
    <row r="63" spans="2:7" ht="12.75">
      <c r="B63" s="73"/>
      <c r="C63" s="73"/>
      <c r="D63" s="74"/>
      <c r="E63" s="30"/>
      <c r="F63" s="19"/>
      <c r="G63" s="39"/>
    </row>
    <row r="64" spans="2:7" ht="12.75">
      <c r="B64" s="73"/>
      <c r="C64" s="73"/>
      <c r="D64" s="74"/>
      <c r="E64" s="30"/>
      <c r="F64" s="19"/>
      <c r="G64" s="41"/>
    </row>
    <row r="65" spans="2:7" ht="12.75">
      <c r="B65" s="72"/>
      <c r="C65" s="73"/>
      <c r="D65" s="25"/>
      <c r="E65" s="25"/>
      <c r="F65" s="25"/>
      <c r="G65" s="19"/>
    </row>
    <row r="66" spans="2:7" ht="12.75">
      <c r="B66" s="72"/>
      <c r="C66" s="73"/>
      <c r="D66" s="25"/>
      <c r="E66" s="25"/>
      <c r="F66" s="25"/>
      <c r="G66" s="19"/>
    </row>
    <row r="67" spans="2:7" ht="12.75">
      <c r="B67" s="25"/>
      <c r="C67" s="25"/>
      <c r="D67" s="25"/>
      <c r="E67" s="25"/>
      <c r="F67" s="25"/>
      <c r="G67" s="19"/>
    </row>
    <row r="68" spans="2:7" ht="12.75">
      <c r="B68" s="19"/>
      <c r="C68" s="19"/>
      <c r="D68" s="25"/>
      <c r="E68" s="25"/>
      <c r="F68" s="25"/>
      <c r="G68" s="19"/>
    </row>
    <row r="69" spans="2:7" ht="12.75">
      <c r="B69" s="19"/>
      <c r="C69" s="19"/>
      <c r="D69" s="25"/>
      <c r="E69" s="25"/>
      <c r="F69" s="25"/>
      <c r="G69" s="19"/>
    </row>
    <row r="70" spans="2:7" ht="12.75">
      <c r="B70" s="19"/>
      <c r="C70" s="19"/>
      <c r="D70" s="19"/>
      <c r="E70" s="25"/>
      <c r="F70" s="25"/>
      <c r="G70" s="25"/>
    </row>
    <row r="71" spans="2:7" ht="12.75">
      <c r="B71" s="19"/>
      <c r="C71" s="19"/>
      <c r="D71" s="19"/>
      <c r="E71" s="19"/>
      <c r="F71" s="19"/>
      <c r="G71" s="75"/>
    </row>
    <row r="72" spans="2:7" ht="12.75">
      <c r="B72" s="19"/>
      <c r="C72" s="19"/>
      <c r="D72" s="19"/>
      <c r="E72" s="19"/>
      <c r="F72" s="19"/>
      <c r="G72" s="19"/>
    </row>
    <row r="73" spans="2:7" ht="12.75">
      <c r="B73" s="19"/>
      <c r="C73" s="19"/>
      <c r="D73" s="19"/>
      <c r="E73" s="19"/>
      <c r="F73" s="19"/>
      <c r="G73" s="19"/>
    </row>
    <row r="74" spans="2:7" ht="12.75">
      <c r="B74" s="19"/>
      <c r="C74" s="19"/>
      <c r="D74" s="19"/>
      <c r="E74" s="47"/>
      <c r="F74" s="25"/>
      <c r="G74" s="25"/>
    </row>
    <row r="75" spans="2:7" ht="12.75">
      <c r="B75" s="19"/>
      <c r="C75" s="19"/>
      <c r="D75" s="19"/>
      <c r="E75" s="47"/>
      <c r="F75" s="25"/>
      <c r="G75" s="25"/>
    </row>
    <row r="76" spans="2:7" ht="12.75">
      <c r="B76" s="19"/>
      <c r="C76" s="19"/>
      <c r="D76" s="19"/>
      <c r="E76" s="47"/>
      <c r="F76" s="32"/>
      <c r="G76" s="32"/>
    </row>
    <row r="77" spans="2:7" ht="12.75">
      <c r="B77" s="19"/>
      <c r="C77" s="19"/>
      <c r="D77" s="19"/>
      <c r="E77" s="47"/>
      <c r="F77" s="76"/>
      <c r="G77" s="76"/>
    </row>
    <row r="78" spans="2:7" ht="12.75">
      <c r="B78" s="19"/>
      <c r="C78" s="19"/>
      <c r="D78" s="19"/>
      <c r="E78" s="25"/>
      <c r="F78" s="25"/>
      <c r="G78" s="25"/>
    </row>
    <row r="79" spans="2:7" ht="12.75">
      <c r="B79" s="19"/>
      <c r="C79" s="19"/>
      <c r="D79" s="19"/>
      <c r="E79" s="25"/>
      <c r="F79" s="25"/>
      <c r="G79" s="25"/>
    </row>
    <row r="80" spans="2:7" ht="12.75">
      <c r="B80" s="19"/>
      <c r="C80" s="19"/>
      <c r="D80" s="19"/>
      <c r="E80" s="25"/>
      <c r="F80" s="25"/>
      <c r="G80" s="25"/>
    </row>
    <row r="81" spans="2:7" ht="12.75">
      <c r="B81" s="19"/>
      <c r="C81" s="19"/>
      <c r="D81" s="19"/>
      <c r="E81" s="25"/>
      <c r="F81" s="25"/>
      <c r="G81" s="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M81"/>
  <sheetViews>
    <sheetView zoomScale="75" zoomScaleNormal="75" workbookViewId="0" topLeftCell="B1">
      <selection activeCell="B5" sqref="B5:D6"/>
    </sheetView>
  </sheetViews>
  <sheetFormatPr defaultColWidth="9.140625" defaultRowHeight="12.75"/>
  <cols>
    <col min="1" max="1" width="10.7109375" style="0" customWidth="1"/>
    <col min="2" max="2" width="15.57421875" style="0" customWidth="1"/>
    <col min="3" max="3" width="27.00390625" style="0" customWidth="1"/>
    <col min="4" max="4" width="17.57421875" style="0" customWidth="1"/>
    <col min="5" max="5" width="18.421875" style="8" customWidth="1"/>
    <col min="6" max="6" width="17.57421875" style="8" customWidth="1"/>
    <col min="7" max="7" width="7.28125" style="8" customWidth="1"/>
    <col min="8" max="8" width="22.140625" style="0" customWidth="1"/>
    <col min="9" max="9" width="10.421875" style="0" bestFit="1" customWidth="1"/>
    <col min="10" max="10" width="22.8515625" style="0" customWidth="1"/>
    <col min="11" max="11" width="17.140625" style="0" customWidth="1"/>
  </cols>
  <sheetData>
    <row r="2" ht="15">
      <c r="C2" s="50"/>
    </row>
    <row r="5" spans="2:7" ht="20.25">
      <c r="B5" s="1" t="s">
        <v>36</v>
      </c>
      <c r="E5" s="16"/>
      <c r="F5" s="16"/>
      <c r="G5" s="16"/>
    </row>
    <row r="6" spans="4:6" ht="20.25">
      <c r="D6" s="1" t="s">
        <v>43</v>
      </c>
      <c r="F6" s="1"/>
    </row>
    <row r="7" ht="20.25">
      <c r="C7" s="1"/>
    </row>
    <row r="8" ht="13.5" thickBot="1"/>
    <row r="9" spans="3:6" ht="13.5" thickBot="1">
      <c r="C9" s="78" t="s">
        <v>32</v>
      </c>
      <c r="D9" s="79"/>
      <c r="E9" s="80"/>
      <c r="F9" s="81"/>
    </row>
    <row r="10" spans="3:6" ht="12.75">
      <c r="C10" s="58" t="s">
        <v>29</v>
      </c>
      <c r="D10" s="77" t="s">
        <v>31</v>
      </c>
      <c r="E10" s="67">
        <v>84</v>
      </c>
      <c r="F10" s="68"/>
    </row>
    <row r="11" spans="3:7" ht="13.5" thickBot="1">
      <c r="C11" s="69"/>
      <c r="D11" s="70" t="s">
        <v>51</v>
      </c>
      <c r="E11" s="97">
        <v>45.5524</v>
      </c>
      <c r="F11" s="71" t="s">
        <v>20</v>
      </c>
      <c r="G11"/>
    </row>
    <row r="12" spans="3:13" ht="12.75">
      <c r="C12" s="69"/>
      <c r="D12" s="70" t="s">
        <v>22</v>
      </c>
      <c r="E12" s="97">
        <v>12.8345</v>
      </c>
      <c r="F12" s="71" t="s">
        <v>20</v>
      </c>
      <c r="H12" s="34" t="s">
        <v>44</v>
      </c>
      <c r="I12" s="35"/>
      <c r="J12" s="35"/>
      <c r="K12" s="35"/>
      <c r="L12" s="88"/>
      <c r="M12" s="53"/>
    </row>
    <row r="13" spans="3:13" ht="12.75">
      <c r="C13" s="59"/>
      <c r="D13" s="70"/>
      <c r="E13" s="43"/>
      <c r="F13" s="71"/>
      <c r="H13" s="36"/>
      <c r="I13" s="37"/>
      <c r="J13" s="53"/>
      <c r="K13" s="53"/>
      <c r="L13" s="89"/>
      <c r="M13" s="53"/>
    </row>
    <row r="14" spans="3:13" ht="12.75">
      <c r="C14" s="59" t="s">
        <v>30</v>
      </c>
      <c r="D14" s="60"/>
      <c r="E14" s="41"/>
      <c r="F14" s="62"/>
      <c r="H14" s="69"/>
      <c r="I14" s="53"/>
      <c r="J14" s="53"/>
      <c r="K14" s="53"/>
      <c r="L14" s="89"/>
      <c r="M14" s="53"/>
    </row>
    <row r="15" spans="3:13" ht="12.75">
      <c r="C15" s="61" t="s">
        <v>21</v>
      </c>
      <c r="D15" s="38" t="s">
        <v>18</v>
      </c>
      <c r="E15" s="41"/>
      <c r="F15" s="62"/>
      <c r="H15" s="36" t="s">
        <v>45</v>
      </c>
      <c r="I15" s="38" t="s">
        <v>18</v>
      </c>
      <c r="J15" s="53"/>
      <c r="K15" s="53"/>
      <c r="L15" s="89"/>
      <c r="M15" s="53"/>
    </row>
    <row r="16" spans="3:12" ht="13.5" thickBot="1">
      <c r="C16" s="65">
        <f>$E$12*SQRT(6)/PI()</f>
        <v>10.007018595433616</v>
      </c>
      <c r="D16" s="66">
        <f>$E$11-C16*$E$13</f>
        <v>45.5524</v>
      </c>
      <c r="E16" s="63"/>
      <c r="F16" s="64"/>
      <c r="H16" s="90">
        <f>C16</f>
        <v>10.007018595433616</v>
      </c>
      <c r="I16" s="91">
        <f>H22-H16*D22</f>
        <v>-2.419467690971885</v>
      </c>
      <c r="J16" s="93"/>
      <c r="K16" s="93"/>
      <c r="L16" s="92"/>
    </row>
    <row r="18" spans="2:11" s="20" customFormat="1" ht="30.75" customHeight="1">
      <c r="B18" s="22" t="s">
        <v>15</v>
      </c>
      <c r="C18" s="22" t="s">
        <v>12</v>
      </c>
      <c r="D18" s="22" t="s">
        <v>13</v>
      </c>
      <c r="E18" s="22" t="s">
        <v>14</v>
      </c>
      <c r="F18" s="23"/>
      <c r="H18" s="22" t="s">
        <v>46</v>
      </c>
      <c r="J18" s="22" t="s">
        <v>46</v>
      </c>
      <c r="K18" s="11" t="s">
        <v>49</v>
      </c>
    </row>
    <row r="19" spans="2:11" ht="12.75">
      <c r="B19" s="8" t="s">
        <v>10</v>
      </c>
      <c r="C19" s="8" t="s">
        <v>7</v>
      </c>
      <c r="D19" s="8" t="s">
        <v>7</v>
      </c>
      <c r="E19" s="8" t="s">
        <v>16</v>
      </c>
      <c r="F19" s="19"/>
      <c r="H19" s="8" t="s">
        <v>16</v>
      </c>
      <c r="J19" s="8" t="s">
        <v>17</v>
      </c>
      <c r="K19" s="8" t="s">
        <v>17</v>
      </c>
    </row>
    <row r="20" spans="4:6" ht="12.75">
      <c r="D20" s="8"/>
      <c r="F20" s="19"/>
    </row>
    <row r="21" spans="2:11" ht="12.75">
      <c r="B21" s="8">
        <v>1.03</v>
      </c>
      <c r="C21" s="31">
        <f>1-(1/B21)</f>
        <v>0.029126213592232997</v>
      </c>
      <c r="D21" s="28">
        <f>-LN(-LN(C21))</f>
        <v>-1.2630291475004636</v>
      </c>
      <c r="E21" s="29">
        <f>$C$16*D21+$D$16</f>
        <v>32.91324383438819</v>
      </c>
      <c r="F21" s="30"/>
      <c r="H21" s="32"/>
      <c r="J21" s="32"/>
      <c r="K21" s="32"/>
    </row>
    <row r="22" spans="1:11" ht="12.75">
      <c r="A22" s="95" t="s">
        <v>47</v>
      </c>
      <c r="B22" s="10">
        <v>10</v>
      </c>
      <c r="C22" s="31">
        <f>1-(1/B22)</f>
        <v>0.9</v>
      </c>
      <c r="D22" s="28">
        <f aca="true" t="shared" si="0" ref="D22:D43">-LN(-LN(C22))</f>
        <v>2.2503673273124454</v>
      </c>
      <c r="E22" s="29">
        <f aca="true" t="shared" si="1" ref="E22:E44">C$16*D22+D$16</f>
        <v>68.07186769097189</v>
      </c>
      <c r="F22" s="30"/>
      <c r="H22" s="98">
        <v>20.1</v>
      </c>
      <c r="J22" s="49">
        <f>H22*' Gumbel_Qm'!$H$18*1000000/(60*60*24*1000)</f>
        <v>0.8956597222222222</v>
      </c>
      <c r="K22" s="29">
        <f>J22*' Gumbel_Qm'!$F$53</f>
        <v>5.323204282407406</v>
      </c>
    </row>
    <row r="23" spans="2:11" ht="12.75">
      <c r="B23" s="8"/>
      <c r="C23" s="31">
        <f aca="true" t="shared" si="2" ref="C23:C37">C22+0.005</f>
        <v>0.905</v>
      </c>
      <c r="D23" s="28">
        <f t="shared" si="0"/>
        <v>2.3043833560782434</v>
      </c>
      <c r="E23" s="29">
        <f t="shared" si="1"/>
        <v>68.6124070952827</v>
      </c>
      <c r="F23" s="30"/>
      <c r="H23" s="49">
        <f aca="true" t="shared" si="3" ref="H23:H44">H$16*D23+I$16</f>
        <v>20.640539404310818</v>
      </c>
      <c r="J23" s="49">
        <f>H23*' Gumbel_Qm'!$H$18*1000000/(60*60*24*1000)</f>
        <v>0.9197462581782021</v>
      </c>
      <c r="K23" s="29">
        <f>J23*' Gumbel_Qm'!$F$53</f>
        <v>5.4663585944391135</v>
      </c>
    </row>
    <row r="24" spans="2:11" ht="12.75">
      <c r="B24" s="8"/>
      <c r="C24" s="31">
        <f t="shared" si="2"/>
        <v>0.91</v>
      </c>
      <c r="D24" s="28">
        <f t="shared" si="0"/>
        <v>2.3611608457948767</v>
      </c>
      <c r="E24" s="29">
        <f t="shared" si="1"/>
        <v>69.18058049067909</v>
      </c>
      <c r="F24" s="30"/>
      <c r="H24" s="49">
        <f t="shared" si="3"/>
        <v>21.20871279970721</v>
      </c>
      <c r="J24" s="49">
        <f>H24*' Gumbel_Qm'!$H$18*1000000/(60*60*24*1000)</f>
        <v>0.9450641698943606</v>
      </c>
      <c r="K24" s="29">
        <f>J24*' Gumbel_Qm'!$F$53</f>
        <v>5.616831383072149</v>
      </c>
    </row>
    <row r="25" spans="2:11" ht="12.75">
      <c r="B25" s="8"/>
      <c r="C25" s="31">
        <f t="shared" si="2"/>
        <v>0.915</v>
      </c>
      <c r="D25" s="28">
        <f t="shared" si="0"/>
        <v>2.421017185042538</v>
      </c>
      <c r="E25" s="29">
        <f t="shared" si="1"/>
        <v>69.77956399058502</v>
      </c>
      <c r="F25" s="30"/>
      <c r="H25" s="49">
        <f t="shared" si="3"/>
        <v>21.80769629961314</v>
      </c>
      <c r="J25" s="49">
        <f>H25*' Gumbel_Qm'!$H$18*1000000/(60*60*24*1000)</f>
        <v>0.9717549855730393</v>
      </c>
      <c r="K25" s="29">
        <f>J25*' Gumbel_Qm'!$F$53</f>
        <v>5.775463797589096</v>
      </c>
    </row>
    <row r="26" spans="2:11" ht="12.75">
      <c r="B26" s="8"/>
      <c r="C26" s="31">
        <f t="shared" si="2"/>
        <v>0.92</v>
      </c>
      <c r="D26" s="28">
        <f t="shared" si="0"/>
        <v>2.4843275102530673</v>
      </c>
      <c r="E26" s="29">
        <f t="shared" si="1"/>
        <v>70.41311159224975</v>
      </c>
      <c r="F26" s="30"/>
      <c r="H26" s="49">
        <f t="shared" si="3"/>
        <v>22.441243901277858</v>
      </c>
      <c r="J26" s="49">
        <f>H26*' Gumbel_Qm'!$H$18*1000000/(60*60*24*1000)</f>
        <v>0.9999859840268491</v>
      </c>
      <c r="K26" s="29">
        <f>J26*' Gumbel_Qm'!$F$53</f>
        <v>5.943250031732906</v>
      </c>
    </row>
    <row r="27" spans="2:11" ht="12.75">
      <c r="B27" s="8"/>
      <c r="C27" s="31">
        <f t="shared" si="2"/>
        <v>0.925</v>
      </c>
      <c r="D27" s="28">
        <f t="shared" si="0"/>
        <v>2.5515396319662687</v>
      </c>
      <c r="E27" s="29">
        <f t="shared" si="1"/>
        <v>71.08570454407229</v>
      </c>
      <c r="F27" s="30"/>
      <c r="H27" s="49">
        <f t="shared" si="3"/>
        <v>23.11383685310041</v>
      </c>
      <c r="J27" s="49">
        <f>H27*' Gumbel_Qm'!$H$18*1000000/(60*60*24*1000)</f>
        <v>1.0299568505143122</v>
      </c>
      <c r="K27" s="29">
        <f>J27*' Gumbel_Qm'!$F$53</f>
        <v>6.121376881556728</v>
      </c>
    </row>
    <row r="28" spans="2:11" ht="12.75">
      <c r="B28" s="8"/>
      <c r="C28" s="31">
        <f t="shared" si="2"/>
        <v>0.93</v>
      </c>
      <c r="D28" s="28">
        <f t="shared" si="0"/>
        <v>2.6231941186130214</v>
      </c>
      <c r="E28" s="29">
        <f t="shared" si="1"/>
        <v>71.8027523243926</v>
      </c>
      <c r="F28" s="30"/>
      <c r="H28" s="49">
        <f t="shared" si="3"/>
        <v>23.830884633420713</v>
      </c>
      <c r="J28" s="49">
        <f>H28*' Gumbel_Qm'!$H$18*1000000/(60*60*24*1000)</f>
        <v>1.061908632392011</v>
      </c>
      <c r="K28" s="29">
        <f>J28*' Gumbel_Qm'!$F$53</f>
        <v>6.311276971849852</v>
      </c>
    </row>
    <row r="29" spans="2:11" ht="12.75">
      <c r="B29" s="8"/>
      <c r="C29" s="31">
        <f t="shared" si="2"/>
        <v>0.935</v>
      </c>
      <c r="D29" s="28">
        <f t="shared" si="0"/>
        <v>2.6999518361572314</v>
      </c>
      <c r="E29" s="29">
        <f t="shared" si="1"/>
        <v>72.57086823120055</v>
      </c>
      <c r="F29" s="30"/>
      <c r="H29" s="49">
        <f t="shared" si="3"/>
        <v>24.599000540228666</v>
      </c>
      <c r="J29" s="49">
        <f>H29*' Gumbel_Qm'!$H$18*1000000/(60*60*24*1000)</f>
        <v>1.0961360194430598</v>
      </c>
      <c r="K29" s="29">
        <f>J29*' Gumbel_Qm'!$F$53</f>
        <v>6.514701742223251</v>
      </c>
    </row>
    <row r="30" spans="2:11" ht="12.75">
      <c r="B30" s="8"/>
      <c r="C30" s="31">
        <f t="shared" si="2"/>
        <v>0.9400000000000001</v>
      </c>
      <c r="D30" s="28">
        <f t="shared" si="0"/>
        <v>2.7826325333778024</v>
      </c>
      <c r="E30" s="29">
        <f t="shared" si="1"/>
        <v>73.39825550577022</v>
      </c>
      <c r="F30" s="30"/>
      <c r="H30" s="49">
        <f t="shared" si="3"/>
        <v>25.426387814798336</v>
      </c>
      <c r="J30" s="49">
        <f>H30*' Gumbel_Qm'!$H$18*1000000/(60*60*24*1000)</f>
        <v>1.13300454961775</v>
      </c>
      <c r="K30" s="29">
        <f>J30*' Gumbel_Qm'!$F$53</f>
        <v>6.733823706561494</v>
      </c>
    </row>
    <row r="31" spans="2:11" ht="13.5" thickBot="1">
      <c r="B31" s="8"/>
      <c r="C31" s="31">
        <f t="shared" si="2"/>
        <v>0.9450000000000001</v>
      </c>
      <c r="D31" s="28">
        <f t="shared" si="0"/>
        <v>2.872270256310787</v>
      </c>
      <c r="E31" s="29">
        <f t="shared" si="1"/>
        <v>74.29526186601292</v>
      </c>
      <c r="F31" s="30"/>
      <c r="H31" s="49">
        <f t="shared" si="3"/>
        <v>26.323394175041038</v>
      </c>
      <c r="J31" s="49">
        <f>H31*' Gumbel_Qm'!$H$18*1000000/(60*60*24*1000)</f>
        <v>1.1729753191424537</v>
      </c>
      <c r="K31" s="29">
        <f>J31*' Gumbel_Qm'!$F$53</f>
        <v>6.9713833134366485</v>
      </c>
    </row>
    <row r="32" spans="2:11" ht="13.5" thickBot="1">
      <c r="B32" s="8">
        <f>1/(1-C32)</f>
        <v>20.00000000000003</v>
      </c>
      <c r="C32" s="31">
        <f t="shared" si="2"/>
        <v>0.9500000000000001</v>
      </c>
      <c r="D32" s="28">
        <f t="shared" si="0"/>
        <v>2.970195249042166</v>
      </c>
      <c r="E32" s="29">
        <f t="shared" si="1"/>
        <v>75.27519908923352</v>
      </c>
      <c r="F32" s="30"/>
      <c r="H32" s="94">
        <f t="shared" si="3"/>
        <v>27.303331398261648</v>
      </c>
      <c r="J32" s="94">
        <f>H32*' Gumbel_Qm'!$H$18*1000000/(60*60*24*1000)</f>
        <v>1.2166415032790203</v>
      </c>
      <c r="K32" s="96">
        <f>J32*' Gumbel_Qm'!$F$53</f>
        <v>7.230906001154977</v>
      </c>
    </row>
    <row r="33" spans="2:11" ht="12.75">
      <c r="B33" s="8"/>
      <c r="C33" s="31">
        <f t="shared" si="2"/>
        <v>0.9550000000000001</v>
      </c>
      <c r="D33" s="28">
        <f t="shared" si="0"/>
        <v>3.0781591535785773</v>
      </c>
      <c r="E33" s="29">
        <f t="shared" si="1"/>
        <v>76.35559588956502</v>
      </c>
      <c r="F33" s="30"/>
      <c r="H33" s="49">
        <f t="shared" si="3"/>
        <v>28.383728198593136</v>
      </c>
      <c r="J33" s="49">
        <f>H33*' Gumbel_Qm'!$H$18*1000000/(60*60*24*1000)</f>
        <v>1.264784184775273</v>
      </c>
      <c r="K33" s="29">
        <f>J33*' Gumbel_Qm'!$F$53</f>
        <v>7.517034004847705</v>
      </c>
    </row>
    <row r="34" spans="2:11" ht="12.75">
      <c r="B34" s="8">
        <f>1/(1-C34)</f>
        <v>25.000000000000046</v>
      </c>
      <c r="C34" s="31">
        <f t="shared" si="2"/>
        <v>0.9600000000000001</v>
      </c>
      <c r="D34" s="28">
        <f t="shared" si="0"/>
        <v>3.198534261445388</v>
      </c>
      <c r="E34" s="29">
        <f t="shared" si="1"/>
        <v>77.56019183241551</v>
      </c>
      <c r="F34" s="30"/>
      <c r="H34" s="49">
        <f t="shared" si="3"/>
        <v>29.588324141443636</v>
      </c>
      <c r="J34" s="49">
        <f>H34*' Gumbel_Qm'!$H$18*1000000/(60*60*24*1000)</f>
        <v>1.3184612030620138</v>
      </c>
      <c r="K34" s="29">
        <f>J34*' Gumbel_Qm'!$F$53</f>
        <v>7.836054416865234</v>
      </c>
    </row>
    <row r="35" spans="2:11" ht="12.75">
      <c r="B35" s="8"/>
      <c r="C35" s="31">
        <f t="shared" si="2"/>
        <v>0.9650000000000001</v>
      </c>
      <c r="D35" s="28">
        <f t="shared" si="0"/>
        <v>3.3346465154361984</v>
      </c>
      <c r="E35" s="29">
        <f t="shared" si="1"/>
        <v>78.92226968916795</v>
      </c>
      <c r="F35" s="30"/>
      <c r="H35" s="49">
        <f t="shared" si="3"/>
        <v>30.950401998196064</v>
      </c>
      <c r="J35" s="49">
        <f>H35*' Gumbel_Qm'!$H$18*1000000/(60*60*24*1000)</f>
        <v>1.3791556445955422</v>
      </c>
      <c r="K35" s="29">
        <f>J35*' Gumbel_Qm'!$F$53</f>
        <v>8.196781714379505</v>
      </c>
    </row>
    <row r="36" spans="2:11" ht="12.75">
      <c r="B36" s="8"/>
      <c r="C36" s="31">
        <f t="shared" si="2"/>
        <v>0.9700000000000001</v>
      </c>
      <c r="D36" s="28">
        <f t="shared" si="0"/>
        <v>3.4913669500837896</v>
      </c>
      <c r="E36" s="29">
        <f t="shared" si="1"/>
        <v>80.49057399297084</v>
      </c>
      <c r="F36" s="30"/>
      <c r="H36" s="49">
        <f t="shared" si="3"/>
        <v>32.51870630199895</v>
      </c>
      <c r="J36" s="49">
        <f>H36*' Gumbel_Qm'!$H$18*1000000/(60*60*24*1000)</f>
        <v>1.4490395747997218</v>
      </c>
      <c r="K36" s="29">
        <f>J36*' Gumbel_Qm'!$F$53</f>
        <v>8.612125206226345</v>
      </c>
    </row>
    <row r="37" spans="2:11" ht="12.75">
      <c r="B37" s="8">
        <f>1/(1-C37)</f>
        <v>40.00000000000014</v>
      </c>
      <c r="C37" s="31">
        <f t="shared" si="2"/>
        <v>0.9750000000000001</v>
      </c>
      <c r="D37" s="28">
        <f t="shared" si="0"/>
        <v>3.6762472579541803</v>
      </c>
      <c r="E37" s="29">
        <f t="shared" si="1"/>
        <v>82.34067467175933</v>
      </c>
      <c r="F37" s="30"/>
      <c r="H37" s="49">
        <f t="shared" si="3"/>
        <v>34.36880698078744</v>
      </c>
      <c r="J37" s="49">
        <f>H37*' Gumbel_Qm'!$H$18*1000000/(60*60*24*1000)</f>
        <v>1.5314804036577736</v>
      </c>
      <c r="K37" s="29">
        <f>J37*' Gumbel_Qm'!$F$53</f>
        <v>9.102098532406034</v>
      </c>
    </row>
    <row r="38" spans="2:11" ht="12.75">
      <c r="B38" s="8"/>
      <c r="C38" s="31">
        <f>C37+0.001</f>
        <v>0.9760000000000001</v>
      </c>
      <c r="D38" s="28">
        <f t="shared" si="0"/>
        <v>3.717579691183428</v>
      </c>
      <c r="E38" s="29">
        <f t="shared" si="1"/>
        <v>82.75428909967891</v>
      </c>
      <c r="F38" s="30"/>
      <c r="H38" s="49">
        <f t="shared" si="3"/>
        <v>34.78242140870704</v>
      </c>
      <c r="J38" s="49">
        <f>H38*' Gumbel_Qm'!$H$18*1000000/(60*60*24*1000)</f>
        <v>1.5499111391611353</v>
      </c>
      <c r="K38" s="29">
        <f>J38*' Gumbel_Qm'!$F$53</f>
        <v>9.211638537081013</v>
      </c>
    </row>
    <row r="39" spans="2:11" ht="12.75">
      <c r="B39" s="8"/>
      <c r="C39" s="31">
        <f>C38+0.001</f>
        <v>0.9770000000000001</v>
      </c>
      <c r="D39" s="28">
        <f t="shared" si="0"/>
        <v>3.7606493090231803</v>
      </c>
      <c r="E39" s="29">
        <f t="shared" si="1"/>
        <v>83.18528756629954</v>
      </c>
      <c r="F39" s="30"/>
      <c r="H39" s="49">
        <f t="shared" si="3"/>
        <v>35.21341987532766</v>
      </c>
      <c r="J39" s="49">
        <f>H39*' Gumbel_Qm'!$H$18*1000000/(60*60*24*1000)</f>
        <v>1.5691165106482812</v>
      </c>
      <c r="K39" s="29">
        <f>J39*' Gumbel_Qm'!$F$53</f>
        <v>9.325782461619616</v>
      </c>
    </row>
    <row r="40" spans="2:11" ht="12.75">
      <c r="B40" s="8"/>
      <c r="C40" s="31">
        <f>C39+0.001</f>
        <v>0.9780000000000001</v>
      </c>
      <c r="D40" s="28">
        <f t="shared" si="0"/>
        <v>3.8056106405283603</v>
      </c>
      <c r="E40" s="29">
        <f t="shared" si="1"/>
        <v>83.63521644674734</v>
      </c>
      <c r="F40" s="30"/>
      <c r="H40" s="49">
        <f t="shared" si="3"/>
        <v>35.66334875577545</v>
      </c>
      <c r="J40" s="49">
        <f>H40*' Gumbel_Qm'!$H$18*1000000/(60*60*24*1000)</f>
        <v>1.5891654248811977</v>
      </c>
      <c r="K40" s="29">
        <f>J40*' Gumbel_Qm'!$F$53</f>
        <v>9.44493984187725</v>
      </c>
    </row>
    <row r="41" spans="2:11" ht="12.75">
      <c r="B41" s="8"/>
      <c r="C41" s="31">
        <f>C40+0.001</f>
        <v>0.9790000000000001</v>
      </c>
      <c r="D41" s="28">
        <f t="shared" si="0"/>
        <v>3.852639791410131</v>
      </c>
      <c r="E41" s="29">
        <f t="shared" si="1"/>
        <v>84.10583803414866</v>
      </c>
      <c r="F41" s="30"/>
      <c r="H41" s="49">
        <f t="shared" si="3"/>
        <v>36.133970343176784</v>
      </c>
      <c r="J41" s="49">
        <f>H41*' Gumbel_Qm'!$H$18*1000000/(60*60*24*1000)</f>
        <v>1.610136409967947</v>
      </c>
      <c r="K41" s="29">
        <f>J41*' Gumbel_Qm'!$F$53</f>
        <v>9.569577396576163</v>
      </c>
    </row>
    <row r="42" spans="2:11" ht="12.75">
      <c r="B42" s="8">
        <f>1/(1-C42)</f>
        <v>50.000000000000234</v>
      </c>
      <c r="C42" s="31">
        <f>C41+0.001</f>
        <v>0.9800000000000001</v>
      </c>
      <c r="D42" s="28">
        <f t="shared" si="0"/>
        <v>3.901938657935839</v>
      </c>
      <c r="E42" s="29">
        <f t="shared" si="1"/>
        <v>84.59917270820523</v>
      </c>
      <c r="F42" s="30"/>
      <c r="H42" s="49">
        <f t="shared" si="3"/>
        <v>36.62730501723334</v>
      </c>
      <c r="J42" s="49">
        <f>H42*' Gumbel_Qm'!$H$18*1000000/(60*60*24*1000)</f>
        <v>1.6321194944021802</v>
      </c>
      <c r="K42" s="29">
        <f>J42*' Gumbel_Qm'!$F$53</f>
        <v>9.700230195063623</v>
      </c>
    </row>
    <row r="43" spans="2:11" ht="13.5" thickBot="1">
      <c r="B43" s="8"/>
      <c r="C43" s="31">
        <f>C42+0.005</f>
        <v>0.9850000000000001</v>
      </c>
      <c r="D43" s="28">
        <f t="shared" si="0"/>
        <v>4.19215777654212</v>
      </c>
      <c r="E43" s="29">
        <f t="shared" si="1"/>
        <v>87.50340082484864</v>
      </c>
      <c r="F43" s="30"/>
      <c r="H43" s="49">
        <f t="shared" si="3"/>
        <v>39.531533133876756</v>
      </c>
      <c r="J43" s="49">
        <f>H43*' Gumbel_Qm'!$H$18*1000000/(60*60*24*1000)</f>
        <v>1.7615324370998324</v>
      </c>
      <c r="K43" s="29">
        <f>J43*' Gumbel_Qm'!$F$53</f>
        <v>10.469374451163336</v>
      </c>
    </row>
    <row r="44" spans="2:11" ht="13.5" thickBot="1">
      <c r="B44" s="8">
        <f>1/(1-C44)</f>
        <v>100.00000000000102</v>
      </c>
      <c r="C44" s="31">
        <f>C43+0.005</f>
        <v>0.9900000000000001</v>
      </c>
      <c r="D44" s="28">
        <f>-LN(-LN(C44))</f>
        <v>4.60014922677659</v>
      </c>
      <c r="E44" s="29">
        <f t="shared" si="1"/>
        <v>91.5861788541229</v>
      </c>
      <c r="F44" s="30"/>
      <c r="H44" s="94">
        <f t="shared" si="3"/>
        <v>43.61431116315102</v>
      </c>
      <c r="J44" s="94">
        <f>H44*' Gumbel_Qm'!$H$18*1000000/(60*60*24*1000)</f>
        <v>1.9434617821542988</v>
      </c>
      <c r="K44" s="96">
        <f>J44*' Gumbel_Qm'!$F$53</f>
        <v>11.550641191937048</v>
      </c>
    </row>
    <row r="45" spans="2:11" ht="12.75">
      <c r="B45" s="8">
        <f>1/(1-C45)</f>
        <v>200.00000000000426</v>
      </c>
      <c r="C45" s="31">
        <f>C44+0.005</f>
        <v>0.9950000000000001</v>
      </c>
      <c r="D45" s="28">
        <f>-LN(-LN(C45))</f>
        <v>5.2958121425350475</v>
      </c>
      <c r="E45" s="29">
        <f>C$16*D45+D$16</f>
        <v>98.54769058827137</v>
      </c>
      <c r="F45" s="19"/>
      <c r="H45" s="49">
        <f>H$16*D45+I$16</f>
        <v>50.575822897299474</v>
      </c>
      <c r="J45" s="49">
        <f>H45*' Gumbel_Qm'!$H$18*1000000/(60*60*24*1000)</f>
        <v>2.2536680341967936</v>
      </c>
      <c r="K45" s="29">
        <f>J45*' Gumbel_Qm'!$F$53</f>
        <v>13.394300349909608</v>
      </c>
    </row>
    <row r="46" spans="2:6" ht="12.75">
      <c r="B46" s="8"/>
      <c r="C46" s="31"/>
      <c r="D46" s="74"/>
      <c r="E46" s="30"/>
      <c r="F46" s="19"/>
    </row>
    <row r="47" spans="2:6" ht="12.75">
      <c r="B47" s="25"/>
      <c r="C47" s="31"/>
      <c r="D47" s="74"/>
      <c r="E47" s="30"/>
      <c r="F47" s="19"/>
    </row>
    <row r="48" spans="2:6" ht="12.75">
      <c r="B48" s="8"/>
      <c r="C48" s="31"/>
      <c r="D48" s="74"/>
      <c r="E48" s="30"/>
      <c r="F48" s="19"/>
    </row>
    <row r="49" spans="2:7" ht="12.75">
      <c r="B49" s="8"/>
      <c r="C49" s="31"/>
      <c r="D49" s="74"/>
      <c r="E49" s="30"/>
      <c r="F49" s="19"/>
      <c r="G49" s="32"/>
    </row>
    <row r="50" spans="2:7" ht="12.75">
      <c r="B50" s="72"/>
      <c r="C50" s="31"/>
      <c r="D50" s="74"/>
      <c r="E50" s="30"/>
      <c r="F50" s="19"/>
      <c r="G50" s="32"/>
    </row>
    <row r="51" spans="2:7" ht="12.75">
      <c r="B51" s="73"/>
      <c r="C51" s="31"/>
      <c r="D51" s="74"/>
      <c r="E51" s="30"/>
      <c r="F51" s="19"/>
      <c r="G51" s="32"/>
    </row>
    <row r="52" spans="2:7" ht="12.75">
      <c r="B52" s="73"/>
      <c r="C52" s="31"/>
      <c r="D52" s="74"/>
      <c r="E52" s="30"/>
      <c r="F52" s="19"/>
      <c r="G52" s="32"/>
    </row>
    <row r="53" spans="2:7" ht="12.75">
      <c r="B53" s="72"/>
      <c r="C53" s="73"/>
      <c r="D53" s="74"/>
      <c r="E53" s="30"/>
      <c r="F53" s="19"/>
      <c r="G53" s="32"/>
    </row>
    <row r="54" spans="2:7" ht="12.75">
      <c r="B54" s="72"/>
      <c r="C54" s="73"/>
      <c r="D54" s="74"/>
      <c r="E54" s="30"/>
      <c r="F54" s="19"/>
      <c r="G54" s="32"/>
    </row>
    <row r="55" spans="2:7" ht="12.75">
      <c r="B55" s="72"/>
      <c r="C55" s="73"/>
      <c r="D55" s="74"/>
      <c r="E55" s="30"/>
      <c r="F55" s="19"/>
      <c r="G55" s="32"/>
    </row>
    <row r="56" spans="2:7" ht="12.75">
      <c r="B56" s="73"/>
      <c r="C56" s="73"/>
      <c r="D56" s="74"/>
      <c r="E56" s="30"/>
      <c r="F56" s="19"/>
      <c r="G56" s="32"/>
    </row>
    <row r="57" spans="2:7" ht="12.75">
      <c r="B57" s="73"/>
      <c r="C57" s="73"/>
      <c r="D57" s="74"/>
      <c r="E57" s="30"/>
      <c r="F57" s="19"/>
      <c r="G57" s="32"/>
    </row>
    <row r="58" spans="2:7" ht="12.75">
      <c r="B58" s="73"/>
      <c r="C58" s="73"/>
      <c r="D58" s="74"/>
      <c r="E58" s="30"/>
      <c r="F58" s="19"/>
      <c r="G58" s="32"/>
    </row>
    <row r="59" spans="2:7" ht="12.75">
      <c r="B59" s="72"/>
      <c r="C59" s="73"/>
      <c r="D59" s="74"/>
      <c r="E59" s="30"/>
      <c r="F59" s="19"/>
      <c r="G59" s="32"/>
    </row>
    <row r="60" spans="2:7" ht="12.75">
      <c r="B60" s="72"/>
      <c r="C60" s="73"/>
      <c r="D60" s="74"/>
      <c r="E60" s="30"/>
      <c r="F60" s="19"/>
      <c r="G60" s="32"/>
    </row>
    <row r="61" spans="2:7" ht="12.75">
      <c r="B61" s="72"/>
      <c r="C61" s="73"/>
      <c r="D61" s="74"/>
      <c r="E61" s="30"/>
      <c r="F61" s="19"/>
      <c r="G61" s="32"/>
    </row>
    <row r="62" spans="2:7" ht="12.75">
      <c r="B62" s="72"/>
      <c r="C62" s="73"/>
      <c r="D62" s="74"/>
      <c r="E62" s="30"/>
      <c r="F62" s="19"/>
      <c r="G62" s="39"/>
    </row>
    <row r="63" spans="2:7" ht="12.75">
      <c r="B63" s="73"/>
      <c r="C63" s="73"/>
      <c r="D63" s="74"/>
      <c r="E63" s="30"/>
      <c r="F63" s="19"/>
      <c r="G63" s="39"/>
    </row>
    <row r="64" spans="2:7" ht="12.75">
      <c r="B64" s="73"/>
      <c r="C64" s="73"/>
      <c r="D64" s="74"/>
      <c r="E64" s="30"/>
      <c r="F64" s="19"/>
      <c r="G64" s="41"/>
    </row>
    <row r="65" spans="2:7" ht="12.75">
      <c r="B65" s="72"/>
      <c r="C65" s="73"/>
      <c r="D65" s="25"/>
      <c r="E65" s="25"/>
      <c r="F65" s="25"/>
      <c r="G65" s="19"/>
    </row>
    <row r="66" spans="2:7" ht="12.75">
      <c r="B66" s="72"/>
      <c r="C66" s="73"/>
      <c r="D66" s="25"/>
      <c r="E66" s="25"/>
      <c r="F66" s="25"/>
      <c r="G66" s="19"/>
    </row>
    <row r="67" spans="2:7" ht="12.75">
      <c r="B67" s="25"/>
      <c r="C67" s="25"/>
      <c r="D67" s="25"/>
      <c r="E67" s="25"/>
      <c r="F67" s="25"/>
      <c r="G67" s="19"/>
    </row>
    <row r="68" spans="2:7" ht="12.75">
      <c r="B68" s="19"/>
      <c r="C68" s="19"/>
      <c r="D68" s="25"/>
      <c r="E68" s="25"/>
      <c r="F68" s="25"/>
      <c r="G68" s="19"/>
    </row>
    <row r="69" spans="2:7" ht="12.75">
      <c r="B69" s="19"/>
      <c r="C69" s="19"/>
      <c r="D69" s="25"/>
      <c r="E69" s="25"/>
      <c r="F69" s="25"/>
      <c r="G69" s="19"/>
    </row>
    <row r="70" spans="2:7" ht="12.75">
      <c r="B70" s="19"/>
      <c r="C70" s="19"/>
      <c r="D70" s="19"/>
      <c r="E70" s="25"/>
      <c r="F70" s="25"/>
      <c r="G70" s="25"/>
    </row>
    <row r="71" spans="2:7" ht="12.75">
      <c r="B71" s="19"/>
      <c r="C71" s="19"/>
      <c r="D71" s="19"/>
      <c r="E71" s="19"/>
      <c r="F71" s="19"/>
      <c r="G71" s="75"/>
    </row>
    <row r="72" spans="2:7" ht="12.75">
      <c r="B72" s="19"/>
      <c r="C72" s="19"/>
      <c r="D72" s="19"/>
      <c r="E72" s="19"/>
      <c r="F72" s="19"/>
      <c r="G72" s="19"/>
    </row>
    <row r="73" spans="2:7" ht="12.75">
      <c r="B73" s="19"/>
      <c r="C73" s="19"/>
      <c r="D73" s="19"/>
      <c r="E73" s="19"/>
      <c r="F73" s="19"/>
      <c r="G73" s="19"/>
    </row>
    <row r="74" spans="2:7" ht="12.75">
      <c r="B74" s="19"/>
      <c r="C74" s="19"/>
      <c r="D74" s="19"/>
      <c r="E74" s="47"/>
      <c r="F74" s="25"/>
      <c r="G74" s="25"/>
    </row>
    <row r="75" spans="2:7" ht="12.75">
      <c r="B75" s="19"/>
      <c r="C75" s="19"/>
      <c r="D75" s="19"/>
      <c r="E75" s="47"/>
      <c r="F75" s="25"/>
      <c r="G75" s="25"/>
    </row>
    <row r="76" spans="2:7" ht="12.75">
      <c r="B76" s="19"/>
      <c r="C76" s="19"/>
      <c r="D76" s="19"/>
      <c r="E76" s="47"/>
      <c r="F76" s="32"/>
      <c r="G76" s="32"/>
    </row>
    <row r="77" spans="2:7" ht="12.75">
      <c r="B77" s="19"/>
      <c r="C77" s="19"/>
      <c r="D77" s="19"/>
      <c r="E77" s="47"/>
      <c r="F77" s="76"/>
      <c r="G77" s="76"/>
    </row>
    <row r="78" spans="2:7" ht="12.75">
      <c r="B78" s="19"/>
      <c r="C78" s="19"/>
      <c r="D78" s="19"/>
      <c r="E78" s="25"/>
      <c r="F78" s="25"/>
      <c r="G78" s="25"/>
    </row>
    <row r="79" spans="2:7" ht="12.75">
      <c r="B79" s="19"/>
      <c r="C79" s="19"/>
      <c r="D79" s="19"/>
      <c r="E79" s="25"/>
      <c r="F79" s="25"/>
      <c r="G79" s="25"/>
    </row>
    <row r="80" spans="2:7" ht="12.75">
      <c r="B80" s="19"/>
      <c r="C80" s="19"/>
      <c r="D80" s="19"/>
      <c r="E80" s="25"/>
      <c r="F80" s="25"/>
      <c r="G80" s="25"/>
    </row>
    <row r="81" spans="2:7" ht="12.75">
      <c r="B81" s="19"/>
      <c r="C81" s="19"/>
      <c r="D81" s="19"/>
      <c r="E81" s="25"/>
      <c r="F81" s="25"/>
      <c r="G81" s="2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IATE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Cécile Picouet</dc:creator>
  <cp:keywords/>
  <dc:description/>
  <cp:lastModifiedBy>Cécile Picouet</cp:lastModifiedBy>
  <dcterms:created xsi:type="dcterms:W3CDTF">2002-07-26T11:38:04Z</dcterms:created>
  <dcterms:modified xsi:type="dcterms:W3CDTF">2004-04-14T12:57:36Z</dcterms:modified>
  <cp:category/>
  <cp:version/>
  <cp:contentType/>
  <cp:contentStatus/>
</cp:coreProperties>
</file>