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75" windowWidth="11445" windowHeight="7140" tabRatio="797" firstSheet="2" activeTab="4"/>
  </bookViews>
  <sheets>
    <sheet name="information" sheetId="1" r:id="rId1"/>
    <sheet name="données" sheetId="2" r:id="rId2"/>
    <sheet name="graphique" sheetId="3" r:id="rId3"/>
    <sheet name="données (2)" sheetId="4" r:id="rId4"/>
    <sheet name="prédimensionnement" sheetId="5" r:id="rId5"/>
  </sheets>
  <definedNames/>
  <calcPr fullCalcOnLoad="1"/>
</workbook>
</file>

<file path=xl/sharedStrings.xml><?xml version="1.0" encoding="utf-8"?>
<sst xmlns="http://schemas.openxmlformats.org/spreadsheetml/2006/main" count="179" uniqueCount="133">
  <si>
    <t>précipitations</t>
  </si>
  <si>
    <t>K =</t>
  </si>
  <si>
    <t>B =</t>
  </si>
  <si>
    <t>ti =</t>
  </si>
  <si>
    <t>[min]</t>
  </si>
  <si>
    <t>Tronçon</t>
  </si>
  <si>
    <t>Longueur</t>
  </si>
  <si>
    <t>Pente</t>
  </si>
  <si>
    <t>Diamètre</t>
  </si>
  <si>
    <t>Vitesse nominale</t>
  </si>
  <si>
    <t>Débit nominal</t>
  </si>
  <si>
    <t>Origine</t>
  </si>
  <si>
    <t>Intensité</t>
  </si>
  <si>
    <t>Surface</t>
  </si>
  <si>
    <t>Débit conservé</t>
  </si>
  <si>
    <t>Population</t>
  </si>
  <si>
    <t>Cumul population</t>
  </si>
  <si>
    <t>Débit temps pluie</t>
  </si>
  <si>
    <t>-</t>
  </si>
  <si>
    <t>L</t>
  </si>
  <si>
    <t>J</t>
  </si>
  <si>
    <t>ø</t>
  </si>
  <si>
    <t>i</t>
  </si>
  <si>
    <t>S</t>
  </si>
  <si>
    <t>Y</t>
  </si>
  <si>
    <t>[m]</t>
  </si>
  <si>
    <t>[mm]</t>
  </si>
  <si>
    <t>[m/s]</t>
  </si>
  <si>
    <t>[l/s]</t>
  </si>
  <si>
    <t>[l/s/ha]</t>
  </si>
  <si>
    <t>[ha]</t>
  </si>
  <si>
    <t>[-]</t>
  </si>
  <si>
    <t>[%]</t>
  </si>
  <si>
    <t>Information</t>
  </si>
  <si>
    <t>Prédimensionnement d'un réseau d'assainissement à l'aide de la formule rationnelle</t>
  </si>
  <si>
    <t>Données - canalisation circulaire</t>
  </si>
  <si>
    <t>taux de
remplissage</t>
  </si>
  <si>
    <t>vitesse
relative</t>
  </si>
  <si>
    <t>débit
relatif</t>
  </si>
  <si>
    <t>surface
"relative"</t>
  </si>
  <si>
    <t>h/di</t>
  </si>
  <si>
    <r>
      <t>V/V</t>
    </r>
    <r>
      <rPr>
        <b/>
        <vertAlign val="subscript"/>
        <sz val="10"/>
        <rFont val="Arial"/>
        <family val="2"/>
      </rPr>
      <t>V</t>
    </r>
  </si>
  <si>
    <r>
      <t>Q/Q</t>
    </r>
    <r>
      <rPr>
        <b/>
        <vertAlign val="subscript"/>
        <sz val="10"/>
        <rFont val="Arial"/>
        <family val="2"/>
      </rPr>
      <t>V</t>
    </r>
  </si>
  <si>
    <r>
      <t>S/H</t>
    </r>
    <r>
      <rPr>
        <b/>
        <vertAlign val="superscript"/>
        <sz val="10"/>
        <rFont val="Arial"/>
        <family val="2"/>
      </rPr>
      <t>2</t>
    </r>
  </si>
  <si>
    <t>feuille</t>
  </si>
  <si>
    <t>données</t>
  </si>
  <si>
    <t>taux de remplissage en fonction de la vitesse / débit relatif</t>
  </si>
  <si>
    <t>graphique</t>
  </si>
  <si>
    <t>graphique du taux de remplissage en fonction du débit relatif et de la vitesse relative</t>
  </si>
  <si>
    <r>
      <t xml:space="preserve">tiré de: Bourrier R., 1991, </t>
    </r>
    <r>
      <rPr>
        <b/>
        <i/>
        <sz val="10"/>
        <rFont val="Arial"/>
        <family val="2"/>
      </rPr>
      <t>Les réseaux d'assainissement</t>
    </r>
    <r>
      <rPr>
        <b/>
        <sz val="10"/>
        <rFont val="Arial"/>
        <family val="2"/>
      </rPr>
      <t>, 3ème édition</t>
    </r>
  </si>
  <si>
    <t>(1)</t>
  </si>
  <si>
    <t>(2)</t>
  </si>
  <si>
    <t>[l/s/100 EqH]</t>
  </si>
  <si>
    <t>débit spécifique des eaux usées q =</t>
  </si>
  <si>
    <t>Temps achemine.</t>
  </si>
  <si>
    <t>Cumul temps ach.</t>
  </si>
  <si>
    <t>Coefficient ruiss.</t>
  </si>
  <si>
    <t>Surface active</t>
  </si>
  <si>
    <t>Cumul surf. active</t>
  </si>
  <si>
    <t>Débit ruiss.</t>
  </si>
  <si>
    <t>Temps concentra.</t>
  </si>
  <si>
    <t>Débit ECP</t>
  </si>
  <si>
    <t>Débit EU</t>
  </si>
  <si>
    <t>Vitesse TP</t>
  </si>
  <si>
    <t>Vitesse TS</t>
  </si>
  <si>
    <t>Débit relatif TP</t>
  </si>
  <si>
    <t>Vitesse rel. TP</t>
  </si>
  <si>
    <t>Débit relatif TS</t>
  </si>
  <si>
    <t>Vitesse rel. TS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</si>
  <si>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</si>
  <si>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</si>
  <si>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</si>
  <si>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</si>
  <si>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</si>
  <si>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</si>
  <si>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</si>
  <si>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</si>
  <si>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</si>
  <si>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</si>
  <si>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</si>
  <si>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</si>
  <si>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</si>
  <si>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</si>
  <si>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</si>
  <si>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</si>
  <si>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</si>
  <si>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</si>
  <si>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</si>
  <si>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</si>
  <si>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</si>
  <si>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</si>
  <si>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</si>
  <si>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</si>
  <si>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</si>
  <si>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(29)</t>
  </si>
  <si>
    <t>coeff. Strickler K =</t>
  </si>
  <si>
    <t>Diff. altitude</t>
  </si>
  <si>
    <t>(28)</t>
  </si>
  <si>
    <t>données (2)</t>
  </si>
  <si>
    <t>courbes de tendances vitesse relative en fonction du débit relatif</t>
  </si>
  <si>
    <t>de manière à automatiser le calcul des colonnes (25), (26), (28) et (29)</t>
  </si>
  <si>
    <t>prédimensionnement</t>
  </si>
  <si>
    <t>feuille de calcul pour le prédimensionnement d'un réseau d'assainissement (EU, Ec ou encore unitaire)</t>
  </si>
  <si>
    <t>selon la méthode rationnelle</t>
  </si>
  <si>
    <t>prédimensionnement (2)</t>
  </si>
  <si>
    <t>feuille vierge, mais sans les formules!!</t>
  </si>
  <si>
    <t>[EqH]</t>
  </si>
  <si>
    <t xml:space="preserve">Diamètre constructeur </t>
  </si>
  <si>
    <t xml:space="preserve">Epaisseur </t>
  </si>
  <si>
    <t xml:space="preserve">Diamètre utile </t>
  </si>
  <si>
    <t xml:space="preserve">Vérification du dimensionnement de 1.2 </t>
  </si>
  <si>
    <t>avec sous bassins (2.0+1.2) et (1.2) seuls</t>
  </si>
  <si>
    <r>
      <t>[m</t>
    </r>
    <r>
      <rPr>
        <vertAlign val="superscript"/>
        <sz val="10"/>
        <rFont val="Arial"/>
        <family val="2"/>
      </rPr>
      <t>1/3</t>
    </r>
    <r>
      <rPr>
        <sz val="10"/>
        <rFont val="Arial"/>
        <family val="2"/>
      </rPr>
      <t>/s]</t>
    </r>
  </si>
  <si>
    <r>
      <t>D</t>
    </r>
    <r>
      <rPr>
        <b/>
        <sz val="10"/>
        <rFont val="Arial"/>
        <family val="2"/>
      </rPr>
      <t>H</t>
    </r>
  </si>
  <si>
    <r>
      <t>V</t>
    </r>
    <r>
      <rPr>
        <b/>
        <vertAlign val="subscript"/>
        <sz val="10"/>
        <rFont val="Arial"/>
        <family val="2"/>
      </rPr>
      <t>N</t>
    </r>
  </si>
  <si>
    <r>
      <t>Q</t>
    </r>
    <r>
      <rPr>
        <b/>
        <vertAlign val="subscript"/>
        <sz val="10"/>
        <rFont val="Arial"/>
        <family val="2"/>
      </rPr>
      <t>N</t>
    </r>
  </si>
  <si>
    <r>
      <t>t</t>
    </r>
    <r>
      <rPr>
        <b/>
        <vertAlign val="subscript"/>
        <sz val="10"/>
        <rFont val="Arial"/>
        <family val="2"/>
      </rPr>
      <t>a</t>
    </r>
  </si>
  <si>
    <r>
      <t>S</t>
    </r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a</t>
    </r>
  </si>
  <si>
    <r>
      <t>t</t>
    </r>
    <r>
      <rPr>
        <b/>
        <vertAlign val="subscript"/>
        <sz val="10"/>
        <rFont val="Arial"/>
        <family val="2"/>
      </rPr>
      <t>c</t>
    </r>
  </si>
  <si>
    <r>
      <t>F</t>
    </r>
    <r>
      <rPr>
        <b/>
        <vertAlign val="subscript"/>
        <sz val="10"/>
        <rFont val="Arial"/>
        <family val="2"/>
      </rPr>
      <t>act</t>
    </r>
  </si>
  <si>
    <r>
      <t>S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act</t>
    </r>
  </si>
  <si>
    <r>
      <t>Q</t>
    </r>
    <r>
      <rPr>
        <b/>
        <vertAlign val="subscript"/>
        <sz val="10"/>
        <rFont val="Arial"/>
        <family val="2"/>
      </rPr>
      <t>R</t>
    </r>
  </si>
  <si>
    <r>
      <t>Q</t>
    </r>
    <r>
      <rPr>
        <b/>
        <vertAlign val="subscript"/>
        <sz val="10"/>
        <rFont val="Arial"/>
        <family val="2"/>
      </rPr>
      <t>EU</t>
    </r>
  </si>
  <si>
    <r>
      <t>Q</t>
    </r>
    <r>
      <rPr>
        <b/>
        <vertAlign val="subscript"/>
        <sz val="10"/>
        <rFont val="Arial"/>
        <family val="2"/>
      </rPr>
      <t>ECP</t>
    </r>
  </si>
  <si>
    <r>
      <t>Q</t>
    </r>
    <r>
      <rPr>
        <b/>
        <vertAlign val="subscript"/>
        <sz val="10"/>
        <rFont val="Arial"/>
        <family val="2"/>
      </rPr>
      <t>C</t>
    </r>
  </si>
  <si>
    <r>
      <t>Q</t>
    </r>
    <r>
      <rPr>
        <b/>
        <vertAlign val="subscript"/>
        <sz val="10"/>
        <rFont val="Arial"/>
        <family val="2"/>
      </rPr>
      <t>TP</t>
    </r>
  </si>
  <si>
    <r>
      <t>Q</t>
    </r>
    <r>
      <rPr>
        <b/>
        <vertAlign val="subscript"/>
        <sz val="10"/>
        <rFont val="Arial"/>
        <family val="2"/>
      </rPr>
      <t>TP</t>
    </r>
    <r>
      <rPr>
        <b/>
        <sz val="10"/>
        <rFont val="Arial"/>
        <family val="2"/>
      </rPr>
      <t>/Q</t>
    </r>
    <r>
      <rPr>
        <b/>
        <vertAlign val="subscript"/>
        <sz val="10"/>
        <rFont val="Arial"/>
        <family val="2"/>
      </rPr>
      <t>N</t>
    </r>
  </si>
  <si>
    <r>
      <t>V</t>
    </r>
    <r>
      <rPr>
        <b/>
        <vertAlign val="subscript"/>
        <sz val="10"/>
        <rFont val="Arial"/>
        <family val="2"/>
      </rPr>
      <t>TP</t>
    </r>
    <r>
      <rPr>
        <b/>
        <sz val="10"/>
        <rFont val="Arial"/>
        <family val="2"/>
      </rPr>
      <t>/V</t>
    </r>
    <r>
      <rPr>
        <b/>
        <vertAlign val="subscript"/>
        <sz val="10"/>
        <rFont val="Arial"/>
        <family val="2"/>
      </rPr>
      <t>N</t>
    </r>
  </si>
  <si>
    <r>
      <t>V</t>
    </r>
    <r>
      <rPr>
        <b/>
        <vertAlign val="subscript"/>
        <sz val="10"/>
        <rFont val="Arial"/>
        <family val="2"/>
      </rPr>
      <t>TP</t>
    </r>
  </si>
  <si>
    <r>
      <t>Q</t>
    </r>
    <r>
      <rPr>
        <b/>
        <vertAlign val="subscript"/>
        <sz val="10"/>
        <rFont val="Arial"/>
        <family val="2"/>
      </rPr>
      <t>TS</t>
    </r>
    <r>
      <rPr>
        <b/>
        <sz val="10"/>
        <rFont val="Arial"/>
        <family val="2"/>
      </rPr>
      <t>/Q</t>
    </r>
    <r>
      <rPr>
        <b/>
        <vertAlign val="subscript"/>
        <sz val="10"/>
        <rFont val="Arial"/>
        <family val="2"/>
      </rPr>
      <t>N</t>
    </r>
  </si>
  <si>
    <r>
      <t>V</t>
    </r>
    <r>
      <rPr>
        <b/>
        <vertAlign val="subscript"/>
        <sz val="10"/>
        <rFont val="Arial"/>
        <family val="2"/>
      </rPr>
      <t>TS</t>
    </r>
    <r>
      <rPr>
        <b/>
        <sz val="10"/>
        <rFont val="Arial"/>
        <family val="2"/>
      </rPr>
      <t>/V</t>
    </r>
    <r>
      <rPr>
        <b/>
        <vertAlign val="subscript"/>
        <sz val="10"/>
        <rFont val="Arial"/>
        <family val="2"/>
      </rPr>
      <t>N</t>
    </r>
  </si>
  <si>
    <r>
      <t>V</t>
    </r>
    <r>
      <rPr>
        <b/>
        <vertAlign val="subscript"/>
        <sz val="10"/>
        <rFont val="Arial"/>
        <family val="2"/>
      </rPr>
      <t>TS</t>
    </r>
  </si>
  <si>
    <r>
      <t>[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00</t>
    </r>
    <r>
      <rPr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</si>
</sst>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&quot;\ #,##0;\-&quot;Fr&quot;\ #,##0"/>
    <numFmt numFmtId="165" formatCode="&quot;Fr&quot;\ #,##0;[Red]\-&quot;Fr&quot;\ #,##0"/>
    <numFmt numFmtId="166" formatCode="&quot;Fr&quot;\ #,##0.00;\-&quot;Fr&quot;\ #,##0.00"/>
    <numFmt numFmtId="167" formatCode="&quot;Fr&quot;\ #,##0.00;[Red]\-&quot;Fr&quot;\ #,##0.00"/>
    <numFmt numFmtId="168" formatCode="0.0"/>
    <numFmt numFmtId="169" formatCode="[Red][&lt;100]General;[Black]General"/>
    <numFmt numFmtId="170" formatCode="0.000"/>
    <numFmt numFmtId="171" formatCode="0.0000"/>
    <numFmt numFmtId="172" formatCode="[Red][&lt;100]&quot;0&quot;;[Black]&quot;0&quot;"/>
    <numFmt numFmtId="173" formatCode="[Red][&lt;100]&quot;0.0&quot;;[Black]&quot;0.0&quot;"/>
    <numFmt numFmtId="174" formatCode="[Red][&lt;100]&quot;000&quot;;[Black]&quot;000&quot;"/>
    <numFmt numFmtId="175" formatCode="0.0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6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1.75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perscript"/>
      <sz val="10"/>
      <name val="Arial"/>
      <family val="2"/>
    </font>
    <font>
      <b/>
      <sz val="10"/>
      <name val="Symbol"/>
      <family val="1"/>
    </font>
    <font>
      <vertAlign val="subscript"/>
      <sz val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21" applyFont="1">
      <alignment/>
      <protection/>
    </xf>
    <xf numFmtId="0" fontId="5" fillId="0" borderId="0" xfId="21">
      <alignment/>
      <protection/>
    </xf>
    <xf numFmtId="0" fontId="5" fillId="0" borderId="0" xfId="21" applyAlignment="1">
      <alignment horizontal="center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 wrapText="1"/>
      <protection/>
    </xf>
    <xf numFmtId="170" fontId="5" fillId="0" borderId="0" xfId="21" applyNumberFormat="1" applyAlignment="1">
      <alignment horizontal="center"/>
      <protection/>
    </xf>
    <xf numFmtId="171" fontId="5" fillId="0" borderId="0" xfId="21" applyNumberFormat="1" applyAlignment="1">
      <alignment horizontal="center"/>
      <protection/>
    </xf>
    <xf numFmtId="171" fontId="5" fillId="2" borderId="0" xfId="21" applyNumberFormat="1" applyFill="1" applyAlignment="1">
      <alignment horizontal="center"/>
      <protection/>
    </xf>
    <xf numFmtId="171" fontId="5" fillId="3" borderId="0" xfId="21" applyNumberFormat="1" applyFill="1" applyAlignment="1">
      <alignment horizontal="center"/>
      <protection/>
    </xf>
    <xf numFmtId="0" fontId="15" fillId="0" borderId="0" xfId="21" applyFont="1">
      <alignment/>
      <protection/>
    </xf>
    <xf numFmtId="0" fontId="5" fillId="0" borderId="0" xfId="0" applyFont="1" applyFill="1" applyAlignment="1">
      <alignment/>
    </xf>
    <xf numFmtId="0" fontId="7" fillId="4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168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center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5" fillId="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68" fontId="5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4" borderId="5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7" fillId="4" borderId="2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8" fontId="5" fillId="4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1" fontId="6" fillId="0" borderId="0" xfId="0" applyNumberFormat="1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nalisation - taux de remplissage fct vitesse et débit relati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Taux de remplissage théorique en fonction de la vitesse relative ou du débit relatif
Canalisation circulaire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vitesse relative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données!$I$14:$I$44</c:f>
              <c:numCache>
                <c:ptCount val="31"/>
                <c:pt idx="0">
                  <c:v>0</c:v>
                </c:pt>
                <c:pt idx="1">
                  <c:v>0.159</c:v>
                </c:pt>
                <c:pt idx="2">
                  <c:v>0.257</c:v>
                </c:pt>
                <c:pt idx="3">
                  <c:v>0.333</c:v>
                </c:pt>
                <c:pt idx="4">
                  <c:v>0.401</c:v>
                </c:pt>
                <c:pt idx="5">
                  <c:v>0.464</c:v>
                </c:pt>
                <c:pt idx="6">
                  <c:v>0.516</c:v>
                </c:pt>
                <c:pt idx="7">
                  <c:v>0.567</c:v>
                </c:pt>
                <c:pt idx="8">
                  <c:v>0.615</c:v>
                </c:pt>
                <c:pt idx="9">
                  <c:v>0.66</c:v>
                </c:pt>
                <c:pt idx="10">
                  <c:v>0.7</c:v>
                </c:pt>
                <c:pt idx="11">
                  <c:v>0.776</c:v>
                </c:pt>
                <c:pt idx="12">
                  <c:v>0.842</c:v>
                </c:pt>
                <c:pt idx="13">
                  <c:v>0.902</c:v>
                </c:pt>
                <c:pt idx="14">
                  <c:v>0.955</c:v>
                </c:pt>
                <c:pt idx="15">
                  <c:v>1</c:v>
                </c:pt>
                <c:pt idx="16">
                  <c:v>1.038</c:v>
                </c:pt>
                <c:pt idx="17">
                  <c:v>1.071</c:v>
                </c:pt>
                <c:pt idx="18">
                  <c:v>1.099</c:v>
                </c:pt>
                <c:pt idx="19">
                  <c:v>1.121</c:v>
                </c:pt>
                <c:pt idx="20">
                  <c:v>1.131</c:v>
                </c:pt>
                <c:pt idx="21">
                  <c:v>1.139</c:v>
                </c:pt>
                <c:pt idx="22">
                  <c:v>1.139</c:v>
                </c:pt>
                <c:pt idx="23">
                  <c:v>1.139</c:v>
                </c:pt>
                <c:pt idx="24">
                  <c:v>1.139</c:v>
                </c:pt>
                <c:pt idx="25">
                  <c:v>1.131</c:v>
                </c:pt>
                <c:pt idx="26">
                  <c:v>1.124</c:v>
                </c:pt>
                <c:pt idx="27">
                  <c:v>1.111</c:v>
                </c:pt>
                <c:pt idx="28">
                  <c:v>1.093</c:v>
                </c:pt>
                <c:pt idx="29">
                  <c:v>1.068</c:v>
                </c:pt>
                <c:pt idx="30">
                  <c:v>1</c:v>
                </c:pt>
              </c:numCache>
            </c:numRef>
          </c:xVal>
          <c:yVal>
            <c:numRef>
              <c:f>données!$J$14:$J$44</c:f>
              <c:numCache>
                <c:ptCount val="31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0.175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0.4</c:v>
                </c:pt>
                <c:pt idx="14">
                  <c:v>0.45</c:v>
                </c:pt>
                <c:pt idx="15">
                  <c:v>0.5</c:v>
                </c:pt>
                <c:pt idx="16">
                  <c:v>0.55</c:v>
                </c:pt>
                <c:pt idx="17">
                  <c:v>0.6</c:v>
                </c:pt>
                <c:pt idx="18">
                  <c:v>0.65</c:v>
                </c:pt>
                <c:pt idx="19">
                  <c:v>0.7</c:v>
                </c:pt>
                <c:pt idx="20">
                  <c:v>0.75</c:v>
                </c:pt>
                <c:pt idx="21">
                  <c:v>0.775</c:v>
                </c:pt>
                <c:pt idx="22">
                  <c:v>0.8</c:v>
                </c:pt>
                <c:pt idx="23">
                  <c:v>0.825</c:v>
                </c:pt>
                <c:pt idx="24">
                  <c:v>0.85</c:v>
                </c:pt>
                <c:pt idx="25">
                  <c:v>0.875</c:v>
                </c:pt>
                <c:pt idx="26">
                  <c:v>0.9</c:v>
                </c:pt>
                <c:pt idx="27">
                  <c:v>0.925</c:v>
                </c:pt>
                <c:pt idx="28">
                  <c:v>0.95</c:v>
                </c:pt>
                <c:pt idx="29">
                  <c:v>0.975</c:v>
                </c:pt>
                <c:pt idx="3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débit relatif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données!$L$14:$L$44</c:f>
              <c:numCache>
                <c:ptCount val="31"/>
                <c:pt idx="0">
                  <c:v>0</c:v>
                </c:pt>
                <c:pt idx="1">
                  <c:v>0.001</c:v>
                </c:pt>
                <c:pt idx="2">
                  <c:v>0.0045</c:v>
                </c:pt>
                <c:pt idx="3">
                  <c:v>0.0112</c:v>
                </c:pt>
                <c:pt idx="4">
                  <c:v>0.0208</c:v>
                </c:pt>
                <c:pt idx="5">
                  <c:v>0.0334</c:v>
                </c:pt>
                <c:pt idx="6">
                  <c:v>0.0487</c:v>
                </c:pt>
                <c:pt idx="7">
                  <c:v>0.0667</c:v>
                </c:pt>
                <c:pt idx="8">
                  <c:v>0.087</c:v>
                </c:pt>
                <c:pt idx="9">
                  <c:v>0.1113</c:v>
                </c:pt>
                <c:pt idx="10">
                  <c:v>0.1366</c:v>
                </c:pt>
                <c:pt idx="11">
                  <c:v>0.1956</c:v>
                </c:pt>
                <c:pt idx="12">
                  <c:v>0.2623</c:v>
                </c:pt>
                <c:pt idx="13">
                  <c:v>0.3364</c:v>
                </c:pt>
                <c:pt idx="14">
                  <c:v>0.4169</c:v>
                </c:pt>
                <c:pt idx="15">
                  <c:v>0.4997</c:v>
                </c:pt>
                <c:pt idx="16">
                  <c:v>0.5853</c:v>
                </c:pt>
                <c:pt idx="17">
                  <c:v>0.6713</c:v>
                </c:pt>
                <c:pt idx="18">
                  <c:v>0.755</c:v>
                </c:pt>
                <c:pt idx="19">
                  <c:v>0.838</c:v>
                </c:pt>
                <c:pt idx="20">
                  <c:v>0.9099</c:v>
                </c:pt>
                <c:pt idx="21">
                  <c:v>0.9461</c:v>
                </c:pt>
                <c:pt idx="22">
                  <c:v>0.9753</c:v>
                </c:pt>
                <c:pt idx="23">
                  <c:v>1.0042</c:v>
                </c:pt>
                <c:pt idx="24">
                  <c:v>1.0305</c:v>
                </c:pt>
                <c:pt idx="25">
                  <c:v>1.0491</c:v>
                </c:pt>
                <c:pt idx="26">
                  <c:v>1.0654</c:v>
                </c:pt>
                <c:pt idx="27">
                  <c:v>1.0728</c:v>
                </c:pt>
                <c:pt idx="28">
                  <c:v>1.0734</c:v>
                </c:pt>
                <c:pt idx="29">
                  <c:v>1.0606</c:v>
                </c:pt>
                <c:pt idx="30">
                  <c:v>1</c:v>
                </c:pt>
              </c:numCache>
            </c:numRef>
          </c:xVal>
          <c:yVal>
            <c:numRef>
              <c:f>données!$M$14:$M$37</c:f>
              <c:numCache>
                <c:ptCount val="24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0.175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0.3</c:v>
                </c:pt>
                <c:pt idx="12">
                  <c:v>0.35</c:v>
                </c:pt>
                <c:pt idx="13">
                  <c:v>0.4</c:v>
                </c:pt>
                <c:pt idx="14">
                  <c:v>0.45</c:v>
                </c:pt>
                <c:pt idx="15">
                  <c:v>0.5</c:v>
                </c:pt>
                <c:pt idx="16">
                  <c:v>0.55</c:v>
                </c:pt>
                <c:pt idx="17">
                  <c:v>0.6</c:v>
                </c:pt>
                <c:pt idx="18">
                  <c:v>0.65</c:v>
                </c:pt>
                <c:pt idx="19">
                  <c:v>0.7</c:v>
                </c:pt>
                <c:pt idx="20">
                  <c:v>0.75</c:v>
                </c:pt>
                <c:pt idx="21">
                  <c:v>0.775</c:v>
                </c:pt>
                <c:pt idx="22">
                  <c:v>0.8</c:v>
                </c:pt>
                <c:pt idx="23">
                  <c:v>0.825</c:v>
                </c:pt>
              </c:numCache>
            </c:numRef>
          </c:yVal>
          <c:smooth val="1"/>
        </c:ser>
        <c:axId val="39294292"/>
        <c:axId val="18104309"/>
      </c:scatterChart>
      <c:valAx>
        <c:axId val="39294292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vitesse relative V/V</a:t>
                </a:r>
                <a:r>
                  <a:rPr lang="en-US" cap="none" sz="1000" b="1" i="0" u="none" baseline="-25000"/>
                  <a:t>V</a:t>
                </a:r>
                <a:r>
                  <a:rPr lang="en-US" cap="none" sz="1000" b="1" i="0" u="none" baseline="0"/>
                  <a:t> - débit relatif Q/Q</a:t>
                </a:r>
                <a:r>
                  <a:rPr lang="en-US" cap="none" sz="1000" b="1" i="0" u="none" baseline="-25000"/>
                  <a:t>V</a:t>
                </a:r>
                <a:r>
                  <a:rPr lang="en-US" cap="none" sz="1000" b="1" i="0" u="none" baseline="0"/>
                  <a:t>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crossAx val="18104309"/>
        <c:crosses val="autoZero"/>
        <c:crossBetween val="midCat"/>
        <c:dispUnits/>
        <c:majorUnit val="0.1"/>
        <c:minorUnit val="0.05"/>
      </c:valAx>
      <c:valAx>
        <c:axId val="181043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taux de remplissage h/di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crossAx val="39294292"/>
        <c:crosses val="autoZero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Régression de la vitesse relative en fonction du débit relatif</a:t>
            </a:r>
          </a:p>
        </c:rich>
      </c:tx>
      <c:layout/>
      <c:spPr>
        <a:solidFill>
          <a:srgbClr val="FFFF99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'données (2)'!$C$23:$C$37</c:f>
              <c:numCache/>
            </c:numRef>
          </c:xVal>
          <c:yVal>
            <c:numRef>
              <c:f>'données (2)'!$D$23:$D$37</c:f>
              <c:numCache/>
            </c:numRef>
          </c:yVal>
          <c:smooth val="0"/>
        </c:ser>
        <c:axId val="28721054"/>
        <c:axId val="57162895"/>
      </c:scatterChart>
      <c:valAx>
        <c:axId val="2872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débit relatif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57162895"/>
        <c:crosses val="autoZero"/>
        <c:crossBetween val="midCat"/>
        <c:dispUnits/>
      </c:valAx>
      <c:valAx>
        <c:axId val="5716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vitesse relative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28721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Régression de la vitesse relative en fonction du débit relatif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'données (2)'!$C$15:$C$22</c:f>
              <c:numCache/>
            </c:numRef>
          </c:xVal>
          <c:yVal>
            <c:numRef>
              <c:f>'données (2)'!$D$15:$D$22</c:f>
              <c:numCache/>
            </c:numRef>
          </c:yVal>
          <c:smooth val="0"/>
        </c:ser>
        <c:axId val="44704008"/>
        <c:axId val="66791753"/>
      </c:scatterChart>
      <c:valAx>
        <c:axId val="4470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débit relatif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66791753"/>
        <c:crosses val="autoZero"/>
        <c:crossBetween val="midCat"/>
        <c:dispUnits/>
      </c:valAx>
      <c:valAx>
        <c:axId val="6679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vitesse relative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447040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28575</xdr:rowOff>
    </xdr:from>
    <xdr:to>
      <xdr:col>17</xdr:col>
      <xdr:colOff>161925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4867275" y="4514850"/>
        <a:ext cx="71151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38100</xdr:rowOff>
    </xdr:from>
    <xdr:to>
      <xdr:col>17</xdr:col>
      <xdr:colOff>161925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4867275" y="685800"/>
        <a:ext cx="71151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8"/>
  <sheetViews>
    <sheetView zoomScale="75" zoomScaleNormal="75" workbookViewId="0" topLeftCell="A1">
      <selection activeCell="B5" sqref="B5"/>
    </sheetView>
  </sheetViews>
  <sheetFormatPr defaultColWidth="9.125" defaultRowHeight="12.75"/>
  <cols>
    <col min="1" max="16384" width="9.125" style="4" customWidth="1"/>
  </cols>
  <sheetData>
    <row r="5" ht="20.25">
      <c r="B5" s="3" t="s">
        <v>33</v>
      </c>
    </row>
    <row r="9" ht="12.75">
      <c r="C9" s="12" t="s">
        <v>44</v>
      </c>
    </row>
    <row r="13" spans="3:6" ht="12.75">
      <c r="C13" s="6" t="s">
        <v>45</v>
      </c>
      <c r="F13" s="6" t="s">
        <v>46</v>
      </c>
    </row>
    <row r="14" ht="12.75">
      <c r="F14" s="6" t="s">
        <v>49</v>
      </c>
    </row>
    <row r="17" spans="3:6" ht="12.75">
      <c r="C17" s="6" t="s">
        <v>47</v>
      </c>
      <c r="F17" s="6" t="s">
        <v>48</v>
      </c>
    </row>
    <row r="20" spans="3:6" ht="12.75">
      <c r="C20" s="6" t="s">
        <v>98</v>
      </c>
      <c r="F20" s="6" t="s">
        <v>99</v>
      </c>
    </row>
    <row r="21" ht="12.75">
      <c r="F21" s="6" t="s">
        <v>100</v>
      </c>
    </row>
    <row r="24" spans="3:6" ht="12.75">
      <c r="C24" s="6" t="s">
        <v>101</v>
      </c>
      <c r="F24" s="6" t="s">
        <v>102</v>
      </c>
    </row>
    <row r="25" ht="12.75">
      <c r="F25" s="6" t="s">
        <v>103</v>
      </c>
    </row>
    <row r="28" spans="3:6" ht="12.75">
      <c r="C28" s="6" t="s">
        <v>104</v>
      </c>
      <c r="F28" s="6" t="s">
        <v>105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M44"/>
  <sheetViews>
    <sheetView zoomScale="75" zoomScaleNormal="75" workbookViewId="0" topLeftCell="A1">
      <selection activeCell="B5" sqref="B5"/>
    </sheetView>
  </sheetViews>
  <sheetFormatPr defaultColWidth="9.00390625" defaultRowHeight="12.75"/>
  <cols>
    <col min="1" max="2" width="9.125" style="4" customWidth="1"/>
    <col min="3" max="3" width="13.375" style="5" bestFit="1" customWidth="1"/>
    <col min="4" max="5" width="9.125" style="5" customWidth="1"/>
    <col min="6" max="6" width="10.875" style="5" bestFit="1" customWidth="1"/>
    <col min="7" max="9" width="9.125" style="4" customWidth="1"/>
    <col min="10" max="10" width="13.375" style="4" bestFit="1" customWidth="1"/>
    <col min="11" max="12" width="9.125" style="4" customWidth="1"/>
    <col min="13" max="13" width="13.375" style="4" bestFit="1" customWidth="1"/>
    <col min="14" max="16384" width="9.125" style="4" customWidth="1"/>
  </cols>
  <sheetData>
    <row r="5" ht="20.25">
      <c r="B5" s="3" t="s">
        <v>35</v>
      </c>
    </row>
    <row r="10" spans="3:13" s="6" customFormat="1" ht="25.5">
      <c r="C10" s="7" t="s">
        <v>36</v>
      </c>
      <c r="D10" s="7" t="s">
        <v>37</v>
      </c>
      <c r="E10" s="7" t="s">
        <v>38</v>
      </c>
      <c r="F10" s="7" t="s">
        <v>39</v>
      </c>
      <c r="I10" s="7" t="s">
        <v>37</v>
      </c>
      <c r="J10" s="7" t="s">
        <v>36</v>
      </c>
      <c r="L10" s="7" t="s">
        <v>38</v>
      </c>
      <c r="M10" s="7" t="s">
        <v>36</v>
      </c>
    </row>
    <row r="11" spans="3:13" s="6" customFormat="1" ht="15">
      <c r="C11" s="7" t="s">
        <v>40</v>
      </c>
      <c r="D11" s="7" t="s">
        <v>41</v>
      </c>
      <c r="E11" s="7" t="s">
        <v>42</v>
      </c>
      <c r="F11" s="7" t="s">
        <v>43</v>
      </c>
      <c r="I11" s="7" t="s">
        <v>41</v>
      </c>
      <c r="J11" s="7" t="s">
        <v>40</v>
      </c>
      <c r="L11" s="7" t="s">
        <v>42</v>
      </c>
      <c r="M11" s="7" t="s">
        <v>40</v>
      </c>
    </row>
    <row r="12" spans="3:13" ht="12.75">
      <c r="C12" s="5" t="s">
        <v>31</v>
      </c>
      <c r="D12" s="5" t="s">
        <v>31</v>
      </c>
      <c r="E12" s="5" t="s">
        <v>31</v>
      </c>
      <c r="F12" s="5" t="s">
        <v>31</v>
      </c>
      <c r="I12" s="5" t="s">
        <v>31</v>
      </c>
      <c r="J12" s="5" t="s">
        <v>31</v>
      </c>
      <c r="L12" s="5" t="s">
        <v>31</v>
      </c>
      <c r="M12" s="5" t="s">
        <v>31</v>
      </c>
    </row>
    <row r="13" spans="9:13" ht="12.75">
      <c r="I13" s="5"/>
      <c r="J13" s="5"/>
      <c r="L13" s="5"/>
      <c r="M13" s="5"/>
    </row>
    <row r="14" spans="3:13" ht="12.75">
      <c r="C14" s="8">
        <v>0</v>
      </c>
      <c r="D14" s="8">
        <v>0</v>
      </c>
      <c r="E14" s="9">
        <v>0</v>
      </c>
      <c r="F14" s="9">
        <v>0</v>
      </c>
      <c r="I14" s="8">
        <v>0</v>
      </c>
      <c r="J14" s="8">
        <v>0</v>
      </c>
      <c r="L14" s="9">
        <v>0</v>
      </c>
      <c r="M14" s="8">
        <v>0</v>
      </c>
    </row>
    <row r="15" spans="3:13" ht="12.75">
      <c r="C15" s="8">
        <v>0.025</v>
      </c>
      <c r="D15" s="8">
        <v>0.159</v>
      </c>
      <c r="E15" s="9">
        <v>0.001</v>
      </c>
      <c r="F15" s="9">
        <v>0.0052</v>
      </c>
      <c r="I15" s="8">
        <v>0.159</v>
      </c>
      <c r="J15" s="8">
        <v>0.025</v>
      </c>
      <c r="L15" s="9">
        <v>0.001</v>
      </c>
      <c r="M15" s="8">
        <v>0.025</v>
      </c>
    </row>
    <row r="16" spans="3:13" ht="12.75">
      <c r="C16" s="8">
        <v>0.05</v>
      </c>
      <c r="D16" s="8">
        <v>0.257</v>
      </c>
      <c r="E16" s="9">
        <v>0.0045</v>
      </c>
      <c r="F16" s="9">
        <v>0.0148</v>
      </c>
      <c r="I16" s="8">
        <v>0.257</v>
      </c>
      <c r="J16" s="8">
        <v>0.05</v>
      </c>
      <c r="L16" s="9">
        <v>0.0045</v>
      </c>
      <c r="M16" s="8">
        <v>0.05</v>
      </c>
    </row>
    <row r="17" spans="3:13" ht="12.75">
      <c r="C17" s="8">
        <v>0.075</v>
      </c>
      <c r="D17" s="8">
        <v>0.333</v>
      </c>
      <c r="E17" s="9">
        <v>0.0112</v>
      </c>
      <c r="F17" s="9">
        <v>0.0268</v>
      </c>
      <c r="I17" s="8">
        <v>0.333</v>
      </c>
      <c r="J17" s="8">
        <v>0.075</v>
      </c>
      <c r="L17" s="9">
        <v>0.0112</v>
      </c>
      <c r="M17" s="8">
        <v>0.075</v>
      </c>
    </row>
    <row r="18" spans="3:13" ht="12.75">
      <c r="C18" s="8">
        <v>0.1</v>
      </c>
      <c r="D18" s="8">
        <v>0.401</v>
      </c>
      <c r="E18" s="9">
        <v>0.0208</v>
      </c>
      <c r="F18" s="9">
        <v>0.0409</v>
      </c>
      <c r="I18" s="8">
        <v>0.401</v>
      </c>
      <c r="J18" s="8">
        <v>0.1</v>
      </c>
      <c r="L18" s="9">
        <v>0.0208</v>
      </c>
      <c r="M18" s="8">
        <v>0.1</v>
      </c>
    </row>
    <row r="19" spans="3:13" ht="12.75">
      <c r="C19" s="8">
        <v>0.125</v>
      </c>
      <c r="D19" s="8">
        <v>0.464</v>
      </c>
      <c r="E19" s="9">
        <v>0.0334</v>
      </c>
      <c r="F19" s="9">
        <v>0.0567</v>
      </c>
      <c r="I19" s="8">
        <v>0.464</v>
      </c>
      <c r="J19" s="8">
        <v>0.125</v>
      </c>
      <c r="L19" s="9">
        <v>0.0334</v>
      </c>
      <c r="M19" s="8">
        <v>0.125</v>
      </c>
    </row>
    <row r="20" spans="3:13" ht="12.75">
      <c r="C20" s="8">
        <v>0.15</v>
      </c>
      <c r="D20" s="8">
        <v>0.516</v>
      </c>
      <c r="E20" s="9">
        <v>0.0487</v>
      </c>
      <c r="F20" s="9">
        <v>0.0739</v>
      </c>
      <c r="I20" s="8">
        <v>0.516</v>
      </c>
      <c r="J20" s="8">
        <v>0.15</v>
      </c>
      <c r="L20" s="9">
        <v>0.0487</v>
      </c>
      <c r="M20" s="8">
        <v>0.15</v>
      </c>
    </row>
    <row r="21" spans="3:13" ht="12.75">
      <c r="C21" s="8">
        <v>0.175</v>
      </c>
      <c r="D21" s="8">
        <v>0.567</v>
      </c>
      <c r="E21" s="9">
        <v>0.0667</v>
      </c>
      <c r="F21" s="9">
        <v>0.0925</v>
      </c>
      <c r="I21" s="8">
        <v>0.567</v>
      </c>
      <c r="J21" s="8">
        <v>0.175</v>
      </c>
      <c r="L21" s="9">
        <v>0.0667</v>
      </c>
      <c r="M21" s="8">
        <v>0.175</v>
      </c>
    </row>
    <row r="22" spans="3:13" ht="12.75">
      <c r="C22" s="8">
        <v>0.2</v>
      </c>
      <c r="D22" s="8">
        <v>0.615</v>
      </c>
      <c r="E22" s="9">
        <v>0.087</v>
      </c>
      <c r="F22" s="9">
        <v>0.1118</v>
      </c>
      <c r="I22" s="8">
        <v>0.615</v>
      </c>
      <c r="J22" s="8">
        <v>0.2</v>
      </c>
      <c r="L22" s="9">
        <v>0.087</v>
      </c>
      <c r="M22" s="8">
        <v>0.2</v>
      </c>
    </row>
    <row r="23" spans="3:13" ht="12.75">
      <c r="C23" s="8">
        <v>0.225</v>
      </c>
      <c r="D23" s="8">
        <v>0.66</v>
      </c>
      <c r="E23" s="9">
        <v>0.1113</v>
      </c>
      <c r="F23" s="9">
        <v>0.1323</v>
      </c>
      <c r="I23" s="8">
        <v>0.66</v>
      </c>
      <c r="J23" s="8">
        <v>0.225</v>
      </c>
      <c r="L23" s="9">
        <v>0.1113</v>
      </c>
      <c r="M23" s="8">
        <v>0.225</v>
      </c>
    </row>
    <row r="24" spans="3:13" ht="12.75">
      <c r="C24" s="8">
        <v>0.25</v>
      </c>
      <c r="D24" s="8">
        <v>0.7</v>
      </c>
      <c r="E24" s="9">
        <v>0.1366</v>
      </c>
      <c r="F24" s="9">
        <v>0.1535</v>
      </c>
      <c r="I24" s="8">
        <v>0.7</v>
      </c>
      <c r="J24" s="8">
        <v>0.25</v>
      </c>
      <c r="L24" s="9">
        <v>0.1366</v>
      </c>
      <c r="M24" s="8">
        <v>0.25</v>
      </c>
    </row>
    <row r="25" spans="3:13" ht="12.75">
      <c r="C25" s="8">
        <v>0.3</v>
      </c>
      <c r="D25" s="8">
        <v>0.776</v>
      </c>
      <c r="E25" s="9">
        <v>0.1956</v>
      </c>
      <c r="F25" s="9">
        <v>0.1983</v>
      </c>
      <c r="I25" s="8">
        <v>0.776</v>
      </c>
      <c r="J25" s="8">
        <v>0.3</v>
      </c>
      <c r="L25" s="9">
        <v>0.1956</v>
      </c>
      <c r="M25" s="8">
        <v>0.3</v>
      </c>
    </row>
    <row r="26" spans="3:13" ht="12.75">
      <c r="C26" s="8">
        <v>0.35</v>
      </c>
      <c r="D26" s="8">
        <v>0.842</v>
      </c>
      <c r="E26" s="9">
        <v>0.2623</v>
      </c>
      <c r="F26" s="9">
        <v>0.245</v>
      </c>
      <c r="I26" s="8">
        <v>0.842</v>
      </c>
      <c r="J26" s="8">
        <v>0.35</v>
      </c>
      <c r="L26" s="9">
        <v>0.2623</v>
      </c>
      <c r="M26" s="8">
        <v>0.35</v>
      </c>
    </row>
    <row r="27" spans="3:13" ht="12.75">
      <c r="C27" s="8">
        <v>0.4</v>
      </c>
      <c r="D27" s="8">
        <v>0.902</v>
      </c>
      <c r="E27" s="9">
        <v>0.3364</v>
      </c>
      <c r="F27" s="9">
        <v>0.2933</v>
      </c>
      <c r="I27" s="8">
        <v>0.902</v>
      </c>
      <c r="J27" s="8">
        <v>0.4</v>
      </c>
      <c r="L27" s="9">
        <v>0.3364</v>
      </c>
      <c r="M27" s="8">
        <v>0.4</v>
      </c>
    </row>
    <row r="28" spans="3:13" ht="12.75">
      <c r="C28" s="8">
        <v>0.45</v>
      </c>
      <c r="D28" s="8">
        <v>0.955</v>
      </c>
      <c r="E28" s="9">
        <v>0.4169</v>
      </c>
      <c r="F28" s="9">
        <v>0.3428</v>
      </c>
      <c r="I28" s="8">
        <v>0.955</v>
      </c>
      <c r="J28" s="8">
        <v>0.45</v>
      </c>
      <c r="L28" s="9">
        <v>0.4169</v>
      </c>
      <c r="M28" s="8">
        <v>0.45</v>
      </c>
    </row>
    <row r="29" spans="3:13" ht="12.75">
      <c r="C29" s="8">
        <v>0.5</v>
      </c>
      <c r="D29" s="8">
        <v>1</v>
      </c>
      <c r="E29" s="9">
        <v>0.4997</v>
      </c>
      <c r="F29" s="9">
        <v>0.3928</v>
      </c>
      <c r="I29" s="8">
        <v>1</v>
      </c>
      <c r="J29" s="8">
        <v>0.5</v>
      </c>
      <c r="L29" s="9">
        <v>0.4997</v>
      </c>
      <c r="M29" s="8">
        <v>0.5</v>
      </c>
    </row>
    <row r="30" spans="3:13" ht="12.75">
      <c r="C30" s="8">
        <v>0.55</v>
      </c>
      <c r="D30" s="8">
        <v>1.038</v>
      </c>
      <c r="E30" s="9">
        <v>0.5853</v>
      </c>
      <c r="F30" s="9">
        <v>0.4428</v>
      </c>
      <c r="I30" s="8">
        <v>1.038</v>
      </c>
      <c r="J30" s="8">
        <v>0.55</v>
      </c>
      <c r="L30" s="9">
        <v>0.5853</v>
      </c>
      <c r="M30" s="8">
        <v>0.55</v>
      </c>
    </row>
    <row r="31" spans="3:13" ht="12.75">
      <c r="C31" s="8">
        <v>0.6</v>
      </c>
      <c r="D31" s="8">
        <v>1.071</v>
      </c>
      <c r="E31" s="9">
        <v>0.6713</v>
      </c>
      <c r="F31" s="9">
        <v>0.4923</v>
      </c>
      <c r="I31" s="8">
        <v>1.071</v>
      </c>
      <c r="J31" s="8">
        <v>0.6</v>
      </c>
      <c r="L31" s="9">
        <v>0.6713</v>
      </c>
      <c r="M31" s="8">
        <v>0.6</v>
      </c>
    </row>
    <row r="32" spans="3:13" ht="12.75">
      <c r="C32" s="8">
        <v>0.65</v>
      </c>
      <c r="D32" s="8">
        <v>1.099</v>
      </c>
      <c r="E32" s="9">
        <v>0.755</v>
      </c>
      <c r="F32" s="9">
        <v>0.5405</v>
      </c>
      <c r="I32" s="8">
        <v>1.099</v>
      </c>
      <c r="J32" s="8">
        <v>0.65</v>
      </c>
      <c r="L32" s="9">
        <v>0.755</v>
      </c>
      <c r="M32" s="8">
        <v>0.65</v>
      </c>
    </row>
    <row r="33" spans="3:13" ht="12.75">
      <c r="C33" s="8">
        <v>0.7</v>
      </c>
      <c r="D33" s="8">
        <v>1.121</v>
      </c>
      <c r="E33" s="9">
        <v>0.838</v>
      </c>
      <c r="F33" s="9">
        <v>0.5873</v>
      </c>
      <c r="I33" s="8">
        <v>1.121</v>
      </c>
      <c r="J33" s="8">
        <v>0.7</v>
      </c>
      <c r="L33" s="9">
        <v>0.838</v>
      </c>
      <c r="M33" s="8">
        <v>0.7</v>
      </c>
    </row>
    <row r="34" spans="3:13" ht="12.75">
      <c r="C34" s="8">
        <v>0.75</v>
      </c>
      <c r="D34" s="8">
        <v>1.131</v>
      </c>
      <c r="E34" s="9">
        <v>0.9099</v>
      </c>
      <c r="F34" s="9">
        <v>0.632</v>
      </c>
      <c r="I34" s="8">
        <v>1.131</v>
      </c>
      <c r="J34" s="8">
        <v>0.75</v>
      </c>
      <c r="L34" s="9">
        <v>0.9099</v>
      </c>
      <c r="M34" s="8">
        <v>0.75</v>
      </c>
    </row>
    <row r="35" spans="3:13" ht="12.75">
      <c r="C35" s="8">
        <v>0.775</v>
      </c>
      <c r="D35" s="8">
        <v>1.139</v>
      </c>
      <c r="E35" s="9">
        <v>0.9461</v>
      </c>
      <c r="F35" s="9">
        <v>0.6533</v>
      </c>
      <c r="I35" s="8">
        <v>1.139</v>
      </c>
      <c r="J35" s="8">
        <v>0.775</v>
      </c>
      <c r="L35" s="9">
        <v>0.9461</v>
      </c>
      <c r="M35" s="8">
        <v>0.775</v>
      </c>
    </row>
    <row r="36" spans="3:13" ht="12.75">
      <c r="C36" s="8">
        <v>0.8</v>
      </c>
      <c r="D36" s="8">
        <v>1.139</v>
      </c>
      <c r="E36" s="9">
        <v>0.9753</v>
      </c>
      <c r="F36" s="9">
        <v>0.6735</v>
      </c>
      <c r="I36" s="8">
        <v>1.139</v>
      </c>
      <c r="J36" s="8">
        <v>0.8</v>
      </c>
      <c r="L36" s="9">
        <v>0.9753</v>
      </c>
      <c r="M36" s="8">
        <v>0.8</v>
      </c>
    </row>
    <row r="37" spans="3:13" ht="12.75">
      <c r="C37" s="8">
        <v>0.825</v>
      </c>
      <c r="D37" s="8">
        <v>1.139</v>
      </c>
      <c r="E37" s="9">
        <v>1.0042</v>
      </c>
      <c r="F37" s="9">
        <v>0.6933</v>
      </c>
      <c r="I37" s="8">
        <v>1.139</v>
      </c>
      <c r="J37" s="8">
        <v>0.825</v>
      </c>
      <c r="L37" s="9">
        <v>1.0042</v>
      </c>
      <c r="M37" s="8">
        <v>0.825</v>
      </c>
    </row>
    <row r="38" spans="3:13" ht="12.75">
      <c r="C38" s="8">
        <v>0.85</v>
      </c>
      <c r="D38" s="8">
        <v>1.139</v>
      </c>
      <c r="E38" s="9">
        <v>1.0305</v>
      </c>
      <c r="F38" s="9">
        <v>0.7115</v>
      </c>
      <c r="I38" s="8">
        <v>1.139</v>
      </c>
      <c r="J38" s="8">
        <v>0.85</v>
      </c>
      <c r="L38" s="9">
        <v>1.0305</v>
      </c>
      <c r="M38" s="8">
        <v>0.85</v>
      </c>
    </row>
    <row r="39" spans="3:13" ht="12.75">
      <c r="C39" s="8">
        <v>0.875</v>
      </c>
      <c r="D39" s="8">
        <v>1.131</v>
      </c>
      <c r="E39" s="9">
        <v>1.0491</v>
      </c>
      <c r="F39" s="9">
        <v>0.7288</v>
      </c>
      <c r="I39" s="8">
        <v>1.131</v>
      </c>
      <c r="J39" s="8">
        <v>0.875</v>
      </c>
      <c r="L39" s="9">
        <v>1.0491</v>
      </c>
      <c r="M39" s="8">
        <v>0.875</v>
      </c>
    </row>
    <row r="40" spans="3:13" ht="12.75">
      <c r="C40" s="8">
        <v>0.9</v>
      </c>
      <c r="D40" s="8">
        <v>1.124</v>
      </c>
      <c r="E40" s="9">
        <v>1.0654</v>
      </c>
      <c r="F40" s="9">
        <v>0.7445</v>
      </c>
      <c r="I40" s="8">
        <v>1.124</v>
      </c>
      <c r="J40" s="8">
        <v>0.9</v>
      </c>
      <c r="L40" s="9">
        <v>1.0654</v>
      </c>
      <c r="M40" s="8">
        <v>0.9</v>
      </c>
    </row>
    <row r="41" spans="3:13" ht="12.75">
      <c r="C41" s="8">
        <v>0.925</v>
      </c>
      <c r="D41" s="8">
        <v>1.111</v>
      </c>
      <c r="E41" s="9">
        <v>1.0728</v>
      </c>
      <c r="F41" s="9">
        <v>0.7588</v>
      </c>
      <c r="I41" s="8">
        <v>1.111</v>
      </c>
      <c r="J41" s="8">
        <v>0.925</v>
      </c>
      <c r="L41" s="9">
        <v>1.0728</v>
      </c>
      <c r="M41" s="8">
        <v>0.925</v>
      </c>
    </row>
    <row r="42" spans="3:13" ht="12.75">
      <c r="C42" s="8">
        <v>0.95</v>
      </c>
      <c r="D42" s="8">
        <v>1.093</v>
      </c>
      <c r="E42" s="9">
        <v>1.0734</v>
      </c>
      <c r="F42" s="9">
        <v>0.7708</v>
      </c>
      <c r="I42" s="8">
        <v>1.093</v>
      </c>
      <c r="J42" s="8">
        <v>0.95</v>
      </c>
      <c r="L42" s="9">
        <v>1.0734</v>
      </c>
      <c r="M42" s="8">
        <v>0.95</v>
      </c>
    </row>
    <row r="43" spans="3:13" ht="12.75">
      <c r="C43" s="8">
        <v>0.975</v>
      </c>
      <c r="D43" s="8">
        <v>1.068</v>
      </c>
      <c r="E43" s="9">
        <v>1.0606</v>
      </c>
      <c r="F43" s="9">
        <v>0.7803</v>
      </c>
      <c r="I43" s="8">
        <v>1.068</v>
      </c>
      <c r="J43" s="8">
        <v>0.975</v>
      </c>
      <c r="L43" s="9">
        <v>1.0606</v>
      </c>
      <c r="M43" s="8">
        <v>0.975</v>
      </c>
    </row>
    <row r="44" spans="3:13" ht="12.75">
      <c r="C44" s="8">
        <v>1</v>
      </c>
      <c r="D44" s="8">
        <v>1</v>
      </c>
      <c r="E44" s="9">
        <v>1</v>
      </c>
      <c r="F44" s="9">
        <v>0.7855</v>
      </c>
      <c r="I44" s="8">
        <v>1</v>
      </c>
      <c r="J44" s="8">
        <v>1</v>
      </c>
      <c r="L44" s="9">
        <v>1</v>
      </c>
      <c r="M44" s="8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44"/>
  <sheetViews>
    <sheetView zoomScale="75" zoomScaleNormal="75" workbookViewId="0" topLeftCell="A1">
      <selection activeCell="B5" sqref="B5"/>
    </sheetView>
  </sheetViews>
  <sheetFormatPr defaultColWidth="9.00390625" defaultRowHeight="12.75"/>
  <cols>
    <col min="1" max="3" width="9.125" style="4" customWidth="1"/>
    <col min="4" max="5" width="9.125" style="5" customWidth="1"/>
    <col min="6" max="16384" width="9.125" style="4" customWidth="1"/>
  </cols>
  <sheetData>
    <row r="5" ht="20.25">
      <c r="B5" s="3" t="s">
        <v>35</v>
      </c>
    </row>
    <row r="10" spans="3:4" s="6" customFormat="1" ht="25.5">
      <c r="C10" s="7" t="s">
        <v>38</v>
      </c>
      <c r="D10" s="7" t="s">
        <v>37</v>
      </c>
    </row>
    <row r="11" spans="3:4" s="6" customFormat="1" ht="14.25">
      <c r="C11" s="7" t="s">
        <v>42</v>
      </c>
      <c r="D11" s="7" t="s">
        <v>41</v>
      </c>
    </row>
    <row r="12" spans="3:4" ht="12.75">
      <c r="C12" s="5" t="s">
        <v>31</v>
      </c>
      <c r="D12" s="5" t="s">
        <v>31</v>
      </c>
    </row>
    <row r="13" ht="12.75">
      <c r="C13" s="5"/>
    </row>
    <row r="14" spans="3:4" ht="12.75">
      <c r="C14" s="9">
        <v>0</v>
      </c>
      <c r="D14" s="9">
        <v>0</v>
      </c>
    </row>
    <row r="15" spans="3:4" ht="12.75">
      <c r="C15" s="10">
        <v>0.001</v>
      </c>
      <c r="D15" s="10">
        <v>0.159</v>
      </c>
    </row>
    <row r="16" spans="3:4" ht="12.75">
      <c r="C16" s="10">
        <v>0.0045</v>
      </c>
      <c r="D16" s="10">
        <v>0.257</v>
      </c>
    </row>
    <row r="17" spans="3:4" ht="12.75">
      <c r="C17" s="10">
        <v>0.0112</v>
      </c>
      <c r="D17" s="10">
        <v>0.333</v>
      </c>
    </row>
    <row r="18" spans="3:4" ht="12.75">
      <c r="C18" s="10">
        <v>0.0208</v>
      </c>
      <c r="D18" s="10">
        <v>0.401</v>
      </c>
    </row>
    <row r="19" spans="3:4" ht="12.75">
      <c r="C19" s="10">
        <v>0.0334</v>
      </c>
      <c r="D19" s="10">
        <v>0.464</v>
      </c>
    </row>
    <row r="20" spans="3:4" ht="12.75">
      <c r="C20" s="10">
        <v>0.0487</v>
      </c>
      <c r="D20" s="10">
        <v>0.516</v>
      </c>
    </row>
    <row r="21" spans="3:4" ht="12.75">
      <c r="C21" s="10">
        <v>0.0667</v>
      </c>
      <c r="D21" s="10">
        <v>0.567</v>
      </c>
    </row>
    <row r="22" spans="3:4" ht="12.75">
      <c r="C22" s="10">
        <v>0.087</v>
      </c>
      <c r="D22" s="10">
        <v>0.615</v>
      </c>
    </row>
    <row r="23" spans="3:4" ht="12.75">
      <c r="C23" s="11">
        <v>0.1113</v>
      </c>
      <c r="D23" s="11">
        <v>0.66</v>
      </c>
    </row>
    <row r="24" spans="3:4" ht="12.75">
      <c r="C24" s="11">
        <v>0.1366</v>
      </c>
      <c r="D24" s="11">
        <v>0.7</v>
      </c>
    </row>
    <row r="25" spans="3:4" ht="12.75">
      <c r="C25" s="11">
        <v>0.1956</v>
      </c>
      <c r="D25" s="11">
        <v>0.776</v>
      </c>
    </row>
    <row r="26" spans="3:4" ht="12.75">
      <c r="C26" s="11">
        <v>0.2623</v>
      </c>
      <c r="D26" s="11">
        <v>0.842</v>
      </c>
    </row>
    <row r="27" spans="3:4" ht="12.75">
      <c r="C27" s="11">
        <v>0.3364</v>
      </c>
      <c r="D27" s="11">
        <v>0.902</v>
      </c>
    </row>
    <row r="28" spans="3:4" ht="12.75">
      <c r="C28" s="11">
        <v>0.4169</v>
      </c>
      <c r="D28" s="11">
        <v>0.955</v>
      </c>
    </row>
    <row r="29" spans="3:4" ht="12.75">
      <c r="C29" s="11">
        <v>0.4997</v>
      </c>
      <c r="D29" s="11">
        <v>1</v>
      </c>
    </row>
    <row r="30" spans="3:4" ht="12.75">
      <c r="C30" s="11">
        <v>0.5853</v>
      </c>
      <c r="D30" s="11">
        <v>1.038</v>
      </c>
    </row>
    <row r="31" spans="3:4" ht="12.75">
      <c r="C31" s="11">
        <v>0.6713</v>
      </c>
      <c r="D31" s="11">
        <v>1.071</v>
      </c>
    </row>
    <row r="32" spans="3:4" ht="12.75">
      <c r="C32" s="11">
        <v>0.755</v>
      </c>
      <c r="D32" s="11">
        <v>1.099</v>
      </c>
    </row>
    <row r="33" spans="3:4" ht="12.75">
      <c r="C33" s="11">
        <v>0.838</v>
      </c>
      <c r="D33" s="11">
        <v>1.121</v>
      </c>
    </row>
    <row r="34" spans="3:4" ht="12.75">
      <c r="C34" s="11">
        <v>0.9099</v>
      </c>
      <c r="D34" s="11">
        <v>1.131</v>
      </c>
    </row>
    <row r="35" spans="3:4" ht="12.75">
      <c r="C35" s="11">
        <v>0.9461</v>
      </c>
      <c r="D35" s="11">
        <v>1.139</v>
      </c>
    </row>
    <row r="36" spans="3:4" ht="12.75">
      <c r="C36" s="11">
        <v>0.9753</v>
      </c>
      <c r="D36" s="11">
        <v>1.139</v>
      </c>
    </row>
    <row r="37" spans="3:4" ht="12.75">
      <c r="C37" s="11">
        <v>1.0042</v>
      </c>
      <c r="D37" s="11">
        <v>1.139</v>
      </c>
    </row>
    <row r="38" spans="3:4" ht="12.75">
      <c r="C38" s="9">
        <v>1.0305</v>
      </c>
      <c r="D38" s="9">
        <v>1.139</v>
      </c>
    </row>
    <row r="39" spans="3:4" ht="12.75">
      <c r="C39" s="9">
        <v>1.0491</v>
      </c>
      <c r="D39" s="9">
        <v>1.131</v>
      </c>
    </row>
    <row r="40" spans="3:4" ht="12.75">
      <c r="C40" s="9">
        <v>1.0654</v>
      </c>
      <c r="D40" s="9">
        <v>1.124</v>
      </c>
    </row>
    <row r="41" spans="3:4" ht="12.75">
      <c r="C41" s="9">
        <v>1.0728</v>
      </c>
      <c r="D41" s="9">
        <v>1.111</v>
      </c>
    </row>
    <row r="42" spans="3:4" ht="12.75">
      <c r="C42" s="9">
        <v>1.0734</v>
      </c>
      <c r="D42" s="9">
        <v>1.093</v>
      </c>
    </row>
    <row r="43" spans="3:4" ht="12.75">
      <c r="C43" s="9">
        <v>1.0606</v>
      </c>
      <c r="D43" s="9">
        <v>1.068</v>
      </c>
    </row>
    <row r="44" spans="3:4" ht="12.75">
      <c r="C44" s="9">
        <v>1</v>
      </c>
      <c r="D44" s="9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view="pageBreakPreview" zoomScaleNormal="85" zoomScaleSheetLayoutView="100" workbookViewId="0" topLeftCell="A1">
      <selection activeCell="M9" sqref="M9"/>
    </sheetView>
  </sheetViews>
  <sheetFormatPr defaultColWidth="9.00390625" defaultRowHeight="12.75"/>
  <cols>
    <col min="1" max="1" width="5.00390625" style="1" customWidth="1"/>
    <col min="2" max="30" width="6.00390625" style="1" customWidth="1"/>
    <col min="31" max="16384" width="9.125" style="1" customWidth="1"/>
  </cols>
  <sheetData>
    <row r="1" ht="15.75">
      <c r="A1" s="78" t="s">
        <v>34</v>
      </c>
    </row>
    <row r="3" spans="4:14" ht="12.75" customHeight="1">
      <c r="D3" s="19" t="s">
        <v>107</v>
      </c>
      <c r="E3" s="79">
        <v>400</v>
      </c>
      <c r="F3" s="79">
        <v>500</v>
      </c>
      <c r="G3" s="79">
        <v>630</v>
      </c>
      <c r="H3" s="79">
        <v>710</v>
      </c>
      <c r="I3" s="79">
        <v>800</v>
      </c>
      <c r="J3" s="79">
        <v>900</v>
      </c>
      <c r="K3" s="79">
        <v>1000</v>
      </c>
      <c r="L3" s="79">
        <v>1100</v>
      </c>
      <c r="M3" s="79">
        <v>1200</v>
      </c>
      <c r="N3" s="20"/>
    </row>
    <row r="4" spans="4:14" ht="12.75" customHeight="1">
      <c r="D4" s="19" t="s">
        <v>108</v>
      </c>
      <c r="E4" s="17">
        <v>5</v>
      </c>
      <c r="F4" s="17">
        <v>6.2</v>
      </c>
      <c r="G4" s="17">
        <v>7.9</v>
      </c>
      <c r="H4" s="17">
        <v>8.8</v>
      </c>
      <c r="I4" s="17">
        <v>10</v>
      </c>
      <c r="J4" s="17">
        <v>11.3</v>
      </c>
      <c r="K4" s="17">
        <v>12.5</v>
      </c>
      <c r="L4" s="17">
        <v>13.5</v>
      </c>
      <c r="M4" s="17">
        <v>15</v>
      </c>
      <c r="N4" s="20"/>
    </row>
    <row r="5" spans="4:14" ht="12.75" customHeight="1">
      <c r="D5" s="19" t="s">
        <v>109</v>
      </c>
      <c r="E5" s="17">
        <f>E3-2*E4</f>
        <v>390</v>
      </c>
      <c r="F5" s="17">
        <f aca="true" t="shared" si="0" ref="F5:L5">F3-2*F4</f>
        <v>487.6</v>
      </c>
      <c r="G5" s="17">
        <f t="shared" si="0"/>
        <v>614.2</v>
      </c>
      <c r="H5" s="17">
        <f t="shared" si="0"/>
        <v>692.4</v>
      </c>
      <c r="I5" s="17">
        <f t="shared" si="0"/>
        <v>780</v>
      </c>
      <c r="J5" s="17">
        <f t="shared" si="0"/>
        <v>877.4</v>
      </c>
      <c r="K5" s="17">
        <f t="shared" si="0"/>
        <v>975</v>
      </c>
      <c r="L5" s="79">
        <f t="shared" si="0"/>
        <v>1073</v>
      </c>
      <c r="M5" s="79">
        <f>M3-2*M4</f>
        <v>1170</v>
      </c>
      <c r="N5" s="20"/>
    </row>
    <row r="6" ht="12.75" customHeight="1"/>
    <row r="7" spans="3:6" ht="12.75" customHeight="1">
      <c r="C7" s="19" t="s">
        <v>0</v>
      </c>
      <c r="D7" s="19" t="s">
        <v>1</v>
      </c>
      <c r="E7" s="21">
        <v>5400</v>
      </c>
      <c r="F7" s="16"/>
    </row>
    <row r="8" spans="4:13" ht="12.75" customHeight="1">
      <c r="D8" s="19" t="s">
        <v>2</v>
      </c>
      <c r="E8" s="21">
        <v>12</v>
      </c>
      <c r="F8" s="16" t="s">
        <v>4</v>
      </c>
      <c r="M8" s="22"/>
    </row>
    <row r="9" spans="4:6" ht="12.75" customHeight="1">
      <c r="D9" s="19" t="s">
        <v>3</v>
      </c>
      <c r="E9" s="21">
        <v>5</v>
      </c>
      <c r="F9" s="16" t="s">
        <v>4</v>
      </c>
    </row>
    <row r="10" spans="3:23" s="13" customFormat="1" ht="12.75" customHeight="1">
      <c r="C10" s="1"/>
      <c r="D10" s="19" t="s">
        <v>95</v>
      </c>
      <c r="E10" s="21">
        <v>90</v>
      </c>
      <c r="F10" s="23" t="s">
        <v>112</v>
      </c>
      <c r="K10" s="26"/>
      <c r="L10" s="26"/>
      <c r="M10" s="28"/>
      <c r="P10" s="1"/>
      <c r="Q10" s="1"/>
      <c r="R10" s="1"/>
      <c r="S10" s="1"/>
      <c r="T10" s="19" t="s">
        <v>53</v>
      </c>
      <c r="U10" s="24">
        <v>1</v>
      </c>
      <c r="V10" s="1" t="s">
        <v>52</v>
      </c>
      <c r="W10" s="1"/>
    </row>
    <row r="11" spans="3:13" s="13" customFormat="1" ht="12.75" customHeight="1">
      <c r="C11" s="1"/>
      <c r="D11" s="19"/>
      <c r="E11" s="26"/>
      <c r="F11" s="23"/>
      <c r="K11" s="26"/>
      <c r="L11" s="26"/>
      <c r="M11" s="28"/>
    </row>
    <row r="12" spans="4:18" s="13" customFormat="1" ht="12.75" customHeight="1">
      <c r="D12" s="25"/>
      <c r="E12" s="26"/>
      <c r="F12" s="27"/>
      <c r="J12" s="25"/>
      <c r="K12" s="26"/>
      <c r="L12" s="26"/>
      <c r="M12" s="28"/>
      <c r="R12" s="29"/>
    </row>
    <row r="13" spans="2:30" ht="12.75" customHeight="1">
      <c r="B13" s="30" t="s">
        <v>50</v>
      </c>
      <c r="C13" s="30" t="s">
        <v>51</v>
      </c>
      <c r="D13" s="30" t="s">
        <v>69</v>
      </c>
      <c r="E13" s="30" t="s">
        <v>70</v>
      </c>
      <c r="F13" s="30" t="s">
        <v>71</v>
      </c>
      <c r="G13" s="30" t="s">
        <v>72</v>
      </c>
      <c r="H13" s="30" t="s">
        <v>73</v>
      </c>
      <c r="I13" s="30" t="s">
        <v>74</v>
      </c>
      <c r="J13" s="30" t="s">
        <v>75</v>
      </c>
      <c r="K13" s="30" t="s">
        <v>76</v>
      </c>
      <c r="L13" s="30" t="s">
        <v>77</v>
      </c>
      <c r="M13" s="30" t="s">
        <v>78</v>
      </c>
      <c r="N13" s="30" t="s">
        <v>79</v>
      </c>
      <c r="O13" s="30" t="s">
        <v>80</v>
      </c>
      <c r="P13" s="30" t="s">
        <v>81</v>
      </c>
      <c r="Q13" s="30" t="s">
        <v>82</v>
      </c>
      <c r="R13" s="30" t="s">
        <v>83</v>
      </c>
      <c r="S13" s="30" t="s">
        <v>84</v>
      </c>
      <c r="T13" s="30" t="s">
        <v>85</v>
      </c>
      <c r="U13" s="30" t="s">
        <v>86</v>
      </c>
      <c r="V13" s="30" t="s">
        <v>87</v>
      </c>
      <c r="W13" s="30" t="s">
        <v>88</v>
      </c>
      <c r="X13" s="30" t="s">
        <v>89</v>
      </c>
      <c r="Y13" s="30" t="s">
        <v>90</v>
      </c>
      <c r="Z13" s="30" t="s">
        <v>91</v>
      </c>
      <c r="AA13" s="30" t="s">
        <v>92</v>
      </c>
      <c r="AB13" s="30" t="s">
        <v>93</v>
      </c>
      <c r="AC13" s="30" t="s">
        <v>97</v>
      </c>
      <c r="AD13" s="30" t="s">
        <v>94</v>
      </c>
    </row>
    <row r="14" spans="2:30" s="31" customFormat="1" ht="134.25" customHeight="1">
      <c r="B14" s="32" t="s">
        <v>5</v>
      </c>
      <c r="C14" s="33" t="s">
        <v>6</v>
      </c>
      <c r="D14" s="34" t="s">
        <v>96</v>
      </c>
      <c r="E14" s="33" t="s">
        <v>7</v>
      </c>
      <c r="F14" s="35" t="s">
        <v>8</v>
      </c>
      <c r="G14" s="33" t="s">
        <v>9</v>
      </c>
      <c r="H14" s="35" t="s">
        <v>10</v>
      </c>
      <c r="I14" s="33" t="s">
        <v>54</v>
      </c>
      <c r="J14" s="34" t="s">
        <v>11</v>
      </c>
      <c r="K14" s="33" t="s">
        <v>55</v>
      </c>
      <c r="L14" s="33" t="s">
        <v>60</v>
      </c>
      <c r="M14" s="34" t="s">
        <v>12</v>
      </c>
      <c r="N14" s="33" t="s">
        <v>13</v>
      </c>
      <c r="O14" s="34" t="s">
        <v>56</v>
      </c>
      <c r="P14" s="33" t="s">
        <v>57</v>
      </c>
      <c r="Q14" s="33" t="s">
        <v>58</v>
      </c>
      <c r="R14" s="34" t="s">
        <v>59</v>
      </c>
      <c r="S14" s="33" t="s">
        <v>15</v>
      </c>
      <c r="T14" s="34" t="s">
        <v>16</v>
      </c>
      <c r="U14" s="33" t="s">
        <v>62</v>
      </c>
      <c r="V14" s="33" t="s">
        <v>61</v>
      </c>
      <c r="W14" s="36" t="s">
        <v>14</v>
      </c>
      <c r="X14" s="36" t="s">
        <v>17</v>
      </c>
      <c r="Y14" s="37" t="s">
        <v>65</v>
      </c>
      <c r="Z14" s="34" t="s">
        <v>66</v>
      </c>
      <c r="AA14" s="33" t="s">
        <v>63</v>
      </c>
      <c r="AB14" s="36" t="s">
        <v>67</v>
      </c>
      <c r="AC14" s="34" t="s">
        <v>68</v>
      </c>
      <c r="AD14" s="37" t="s">
        <v>64</v>
      </c>
    </row>
    <row r="15" spans="2:30" s="38" customFormat="1" ht="12.75" customHeight="1">
      <c r="B15" s="39" t="s">
        <v>18</v>
      </c>
      <c r="C15" s="40" t="s">
        <v>19</v>
      </c>
      <c r="D15" s="41" t="s">
        <v>113</v>
      </c>
      <c r="E15" s="40" t="s">
        <v>20</v>
      </c>
      <c r="F15" s="14" t="s">
        <v>21</v>
      </c>
      <c r="G15" s="40" t="s">
        <v>114</v>
      </c>
      <c r="H15" s="42" t="s">
        <v>115</v>
      </c>
      <c r="I15" s="40" t="s">
        <v>116</v>
      </c>
      <c r="J15" s="43" t="s">
        <v>18</v>
      </c>
      <c r="K15" s="44" t="s">
        <v>117</v>
      </c>
      <c r="L15" s="40" t="s">
        <v>118</v>
      </c>
      <c r="M15" s="43" t="s">
        <v>22</v>
      </c>
      <c r="N15" s="40" t="s">
        <v>23</v>
      </c>
      <c r="O15" s="45" t="s">
        <v>24</v>
      </c>
      <c r="P15" s="40" t="s">
        <v>119</v>
      </c>
      <c r="Q15" s="44" t="s">
        <v>120</v>
      </c>
      <c r="R15" s="43" t="s">
        <v>121</v>
      </c>
      <c r="S15" s="40" t="s">
        <v>18</v>
      </c>
      <c r="T15" s="43" t="s">
        <v>18</v>
      </c>
      <c r="U15" s="40" t="s">
        <v>122</v>
      </c>
      <c r="V15" s="40" t="s">
        <v>123</v>
      </c>
      <c r="W15" s="46" t="s">
        <v>124</v>
      </c>
      <c r="X15" s="46" t="s">
        <v>125</v>
      </c>
      <c r="Y15" s="14" t="s">
        <v>126</v>
      </c>
      <c r="Z15" s="43" t="s">
        <v>127</v>
      </c>
      <c r="AA15" s="40" t="s">
        <v>128</v>
      </c>
      <c r="AB15" s="46" t="s">
        <v>129</v>
      </c>
      <c r="AC15" s="43" t="s">
        <v>130</v>
      </c>
      <c r="AD15" s="14" t="s">
        <v>131</v>
      </c>
    </row>
    <row r="16" spans="2:30" s="18" customFormat="1" ht="12.75" customHeight="1">
      <c r="B16" s="47" t="s">
        <v>18</v>
      </c>
      <c r="C16" s="48" t="s">
        <v>25</v>
      </c>
      <c r="D16" s="49" t="s">
        <v>25</v>
      </c>
      <c r="E16" s="50" t="s">
        <v>132</v>
      </c>
      <c r="F16" s="51" t="s">
        <v>26</v>
      </c>
      <c r="G16" s="48" t="s">
        <v>27</v>
      </c>
      <c r="H16" s="51" t="s">
        <v>28</v>
      </c>
      <c r="I16" s="48" t="s">
        <v>4</v>
      </c>
      <c r="J16" s="49" t="s">
        <v>18</v>
      </c>
      <c r="K16" s="48" t="s">
        <v>4</v>
      </c>
      <c r="L16" s="48" t="s">
        <v>4</v>
      </c>
      <c r="M16" s="49" t="s">
        <v>29</v>
      </c>
      <c r="N16" s="48" t="s">
        <v>30</v>
      </c>
      <c r="O16" s="49" t="s">
        <v>31</v>
      </c>
      <c r="P16" s="48" t="s">
        <v>30</v>
      </c>
      <c r="Q16" s="48" t="s">
        <v>30</v>
      </c>
      <c r="R16" s="49" t="s">
        <v>28</v>
      </c>
      <c r="S16" s="48" t="s">
        <v>106</v>
      </c>
      <c r="T16" s="48" t="s">
        <v>106</v>
      </c>
      <c r="U16" s="48" t="s">
        <v>28</v>
      </c>
      <c r="V16" s="48" t="s">
        <v>28</v>
      </c>
      <c r="W16" s="52" t="s">
        <v>28</v>
      </c>
      <c r="X16" s="53" t="s">
        <v>28</v>
      </c>
      <c r="Y16" s="54" t="s">
        <v>32</v>
      </c>
      <c r="Z16" s="49" t="s">
        <v>32</v>
      </c>
      <c r="AA16" s="48" t="s">
        <v>27</v>
      </c>
      <c r="AB16" s="52" t="s">
        <v>32</v>
      </c>
      <c r="AC16" s="49" t="s">
        <v>32</v>
      </c>
      <c r="AD16" s="54" t="s">
        <v>27</v>
      </c>
    </row>
    <row r="17" spans="2:30" s="18" customFormat="1" ht="12.75" customHeight="1">
      <c r="B17" s="55"/>
      <c r="C17" s="56"/>
      <c r="D17" s="57"/>
      <c r="E17" s="56"/>
      <c r="F17" s="58"/>
      <c r="G17" s="59"/>
      <c r="H17" s="58"/>
      <c r="I17" s="56"/>
      <c r="J17" s="60"/>
      <c r="K17" s="56"/>
      <c r="L17" s="56"/>
      <c r="M17" s="60"/>
      <c r="N17" s="56"/>
      <c r="O17" s="60"/>
      <c r="P17" s="56"/>
      <c r="Q17" s="56"/>
      <c r="R17" s="60"/>
      <c r="S17" s="56"/>
      <c r="T17" s="60"/>
      <c r="U17" s="56"/>
      <c r="V17" s="56"/>
      <c r="W17" s="61"/>
      <c r="X17" s="57"/>
      <c r="Y17" s="62"/>
      <c r="Z17" s="60"/>
      <c r="AA17" s="56"/>
      <c r="AB17" s="56"/>
      <c r="AC17" s="56"/>
      <c r="AD17" s="62"/>
    </row>
    <row r="18" spans="1:30" s="18" customFormat="1" ht="12.75" customHeight="1">
      <c r="A18" s="26"/>
      <c r="B18" s="63">
        <v>1</v>
      </c>
      <c r="C18" s="61">
        <v>1400</v>
      </c>
      <c r="D18" s="64"/>
      <c r="E18" s="65">
        <v>3.3</v>
      </c>
      <c r="F18" s="66">
        <v>487.6</v>
      </c>
      <c r="G18" s="65">
        <f>IF(AND(E18&lt;&gt;0,F18&lt;&gt;0),$E$10*(F18/4/1000)^(2/3)*(E18/1000)^0.5,"")</f>
        <v>1.27106750613398</v>
      </c>
      <c r="H18" s="66">
        <f aca="true" t="shared" si="1" ref="H18:H38">IF(AND(G18&lt;&gt;0,G18&lt;&gt;""),(G18*PI()*(F18/2/1000)^2)*1000,"")</f>
        <v>237.34817226403024</v>
      </c>
      <c r="I18" s="67">
        <f aca="true" t="shared" si="2" ref="I18:I38">IF(AND(H18&lt;&gt;0,H18&lt;&gt;""),C18/G18/60,"")</f>
        <v>18.35727309582708</v>
      </c>
      <c r="J18" s="68">
        <v>1</v>
      </c>
      <c r="K18" s="67">
        <f>I18</f>
        <v>18.35727309582708</v>
      </c>
      <c r="L18" s="67">
        <f aca="true" t="shared" si="3" ref="L18:L38">IF(K18&lt;&gt;"",K18+$E$9,"")</f>
        <v>23.35727309582708</v>
      </c>
      <c r="M18" s="69">
        <f aca="true" t="shared" si="4" ref="M18:M38">IF(K18&lt;&gt;"",$E$7/($E$8+L18),"")</f>
        <v>152.7267101556346</v>
      </c>
      <c r="N18" s="67">
        <v>4</v>
      </c>
      <c r="O18" s="68">
        <v>0.4</v>
      </c>
      <c r="P18" s="67">
        <f aca="true" t="shared" si="5" ref="P18:P38">IF(AND(N18&lt;&gt;"",O18&lt;&gt;""),N18*O18,"")</f>
        <v>1.6</v>
      </c>
      <c r="Q18" s="67">
        <f>P18</f>
        <v>1.6</v>
      </c>
      <c r="R18" s="69">
        <f aca="true" t="shared" si="6" ref="R18:R38">IF(Q18&lt;&gt;"",Q18*M18,"")</f>
        <v>244.36273624901537</v>
      </c>
      <c r="S18" s="61">
        <v>500</v>
      </c>
      <c r="T18" s="57">
        <f>S18</f>
        <v>500</v>
      </c>
      <c r="U18" s="61">
        <f>IF(T18&lt;&gt;"",T18/100*$U$10,"")</f>
        <v>5</v>
      </c>
      <c r="V18" s="61">
        <v>40</v>
      </c>
      <c r="W18" s="70">
        <f>IF(R18&lt;&gt;"",R18+U18+V18,"")</f>
        <v>289.36273624901537</v>
      </c>
      <c r="X18" s="70">
        <f>IF(R18&lt;&gt;"",IF(AND(W18&lt;&gt;"",R18+U18+V18&gt;W18),W18,R18+U18+V18),"")</f>
        <v>289.36273624901537</v>
      </c>
      <c r="Y18" s="71">
        <f aca="true" t="shared" si="7" ref="Y18:Y38">IF(X18&lt;&gt;"",X18/H18*100,"")</f>
        <v>121.91487867331172</v>
      </c>
      <c r="Z18" s="69">
        <f aca="true" t="shared" si="8" ref="Z18:Z38">IF(Y18&gt;100,"",IF(Y18&gt;=10,(0.5202*(Y18/100)^3-1.5*(Y18/100)^2+1.6193*(Y18/100)+0.5053)*100,(1.2856*(Y18/100)^0.3009)*100))</f>
      </c>
      <c r="AA18" s="65">
        <f aca="true" t="shared" si="9" ref="AA18:AA38">IF(Z18&lt;&gt;"",Z18*G18/100,"")</f>
      </c>
      <c r="AB18" s="72">
        <f aca="true" t="shared" si="10" ref="AB18:AB38">IF(AND(AA18&lt;&gt;"",OR(U18&lt;&gt;"",V18&lt;&gt;"")),(U18+V18)/X18*100,"")</f>
      </c>
      <c r="AC18" s="69">
        <f aca="true" t="shared" si="11" ref="AC18:AC38">IF(AB18&gt;100,"",IF(AB18&gt;=10,(0.5202*(AB18/100)^3-1.5*(AB18/100)^2+1.6193*(AB18/100)+0.5053)*100,(1.2856*(AB18/100)^0.3009)*100))</f>
      </c>
      <c r="AD18" s="73">
        <f aca="true" t="shared" si="12" ref="AD18:AD38">IF(AB18&lt;&gt;"",IF(AB18&gt;=10,(0.5202*((AB18/100))^3-1.5002*(AB18/100)^2+1.6193*(AB18/100)+0.5053)*((X18/1000)/(1.12*PI()*((F18/1000)/2)^2)),(1.2856*(AB18/100)^0.3009)*((X18/1000)/(1.12*PI()*((F18/1000)/2)^2))),"")</f>
      </c>
    </row>
    <row r="19" spans="1:30" s="18" customFormat="1" ht="12.75" customHeight="1">
      <c r="A19" s="26"/>
      <c r="B19" s="63"/>
      <c r="C19" s="61">
        <v>1400</v>
      </c>
      <c r="D19" s="64"/>
      <c r="E19" s="65">
        <v>3.3</v>
      </c>
      <c r="F19" s="66">
        <v>614</v>
      </c>
      <c r="G19" s="65">
        <f>IF(AND(E19&lt;&gt;0,F19&lt;&gt;0),$E$10*(F19/4/1000)^(2/3)*(E19/1000)^0.5,"")</f>
        <v>1.4821940513065384</v>
      </c>
      <c r="H19" s="66">
        <f>IF(AND(G19&lt;&gt;0,G19&lt;&gt;""),(G19*PI()*(F19/2/1000)^2)*1000,"")</f>
        <v>438.86575065698867</v>
      </c>
      <c r="I19" s="67">
        <f>IF(AND(H19&lt;&gt;0,H19&lt;&gt;""),C19/G19/60,"")</f>
        <v>15.742428133998546</v>
      </c>
      <c r="J19" s="68">
        <v>1</v>
      </c>
      <c r="K19" s="67">
        <f>I19</f>
        <v>15.742428133998546</v>
      </c>
      <c r="L19" s="67">
        <f>IF(K19&lt;&gt;"",K19+$E$9,"")</f>
        <v>20.742428133998544</v>
      </c>
      <c r="M19" s="69">
        <f>IF(K19&lt;&gt;"",$E$7/($E$8+L19),"")</f>
        <v>164.9236268581082</v>
      </c>
      <c r="N19" s="67">
        <v>4</v>
      </c>
      <c r="O19" s="68">
        <v>0.4</v>
      </c>
      <c r="P19" s="67">
        <f>IF(AND(N19&lt;&gt;"",O19&lt;&gt;""),N19*O19,"")</f>
        <v>1.6</v>
      </c>
      <c r="Q19" s="67">
        <f>P19</f>
        <v>1.6</v>
      </c>
      <c r="R19" s="69">
        <f>IF(Q19&lt;&gt;"",Q19*M19,"")</f>
        <v>263.87780297297314</v>
      </c>
      <c r="S19" s="61">
        <f>S18</f>
        <v>500</v>
      </c>
      <c r="T19" s="57">
        <f>S19</f>
        <v>500</v>
      </c>
      <c r="U19" s="61">
        <f>IF(T19&lt;&gt;"",T19/100*$U$10,"")</f>
        <v>5</v>
      </c>
      <c r="V19" s="61">
        <f>V18</f>
        <v>40</v>
      </c>
      <c r="W19" s="70">
        <f>IF(R19&lt;&gt;"",R19+U19+V19,"")</f>
        <v>308.87780297297314</v>
      </c>
      <c r="X19" s="70">
        <f>IF(R19&lt;&gt;"",IF(AND(W19&lt;&gt;"",R19+U19+V19&gt;W19),W19,R19+U19+V19),"")</f>
        <v>308.87780297297314</v>
      </c>
      <c r="Y19" s="71">
        <f>IF(X19&lt;&gt;"",X19/H19*100,"")</f>
        <v>70.38093141480701</v>
      </c>
      <c r="Z19" s="69">
        <f>IF(Y19&gt;100,"",IF(Y19&gt;=10,(0.5202*(Y19/100)^3-1.5*(Y19/100)^2+1.6193*(Y19/100)+0.5053)*100,(1.2856*(Y19/100)^0.3009)*100))</f>
        <v>108.33145367748527</v>
      </c>
      <c r="AA19" s="65">
        <f>IF(Z19&lt;&gt;"",Z19*G19/100,"")</f>
        <v>1.605682362101585</v>
      </c>
      <c r="AB19" s="72">
        <f>IF(AND(AA19&lt;&gt;"",OR(U19&lt;&gt;"",V19&lt;&gt;"")),(U19+V19)/X19*100,"")</f>
        <v>14.568868195406553</v>
      </c>
      <c r="AC19" s="69">
        <f>IF(AB19&gt;100,"",IF(AB19&gt;=10,(0.5202*(AB19/100)^3-1.5*(AB19/100)^2+1.6193*(AB19/100)+0.5053)*100,(1.2856*(AB19/100)^0.3009)*100))</f>
        <v>71.09844936000358</v>
      </c>
      <c r="AD19" s="73">
        <f>IF(AB19&lt;&gt;"",IF(AB19&gt;=10,(0.5202*((AB19/100))^3-1.5002*(AB19/100)^2+1.6193*(AB19/100)+0.5053)*((X19/1000)/(1.12*PI()*((F19/1000)/2)^2)),(1.2856*(AB19/100)^0.3009)*((X19/1000)/(1.12*PI()*((F19/1000)/2)^2))),"")</f>
        <v>0.6622158772321841</v>
      </c>
    </row>
    <row r="20" spans="1:30" s="18" customFormat="1" ht="12.75" customHeight="1">
      <c r="A20" s="26"/>
      <c r="B20" s="63"/>
      <c r="C20" s="61"/>
      <c r="D20" s="64"/>
      <c r="E20" s="65"/>
      <c r="F20" s="66"/>
      <c r="G20" s="65"/>
      <c r="H20" s="66"/>
      <c r="I20" s="67"/>
      <c r="J20" s="68"/>
      <c r="K20" s="67"/>
      <c r="L20" s="67"/>
      <c r="M20" s="69"/>
      <c r="N20" s="67"/>
      <c r="O20" s="68"/>
      <c r="P20" s="67"/>
      <c r="Q20" s="67"/>
      <c r="R20" s="69"/>
      <c r="S20" s="61"/>
      <c r="T20" s="57"/>
      <c r="U20" s="61"/>
      <c r="V20" s="61"/>
      <c r="W20" s="70"/>
      <c r="X20" s="70"/>
      <c r="Y20" s="71"/>
      <c r="Z20" s="69"/>
      <c r="AA20" s="65"/>
      <c r="AB20" s="72"/>
      <c r="AC20" s="69"/>
      <c r="AD20" s="73"/>
    </row>
    <row r="21" spans="2:30" s="26" customFormat="1" ht="12.75" customHeight="1">
      <c r="B21" s="74">
        <v>1.1</v>
      </c>
      <c r="C21" s="61">
        <v>200</v>
      </c>
      <c r="D21" s="64"/>
      <c r="E21" s="67">
        <v>2.5</v>
      </c>
      <c r="F21" s="58">
        <v>614</v>
      </c>
      <c r="G21" s="67">
        <f aca="true" t="shared" si="13" ref="G21:G26">IF(AND(E21&lt;&gt;0,F21&lt;&gt;0),$E$10*(F21/4/1000)^(2/3)*(E21/1000)^0.5,"")</f>
        <v>1.2900843306146077</v>
      </c>
      <c r="H21" s="66">
        <f t="shared" si="1"/>
        <v>381.9836057680318</v>
      </c>
      <c r="I21" s="67">
        <f t="shared" si="2"/>
        <v>2.5838104178393544</v>
      </c>
      <c r="J21" s="57"/>
      <c r="K21" s="61"/>
      <c r="L21" s="67">
        <f t="shared" si="3"/>
      </c>
      <c r="M21" s="69">
        <f t="shared" si="4"/>
      </c>
      <c r="N21" s="67"/>
      <c r="O21" s="68"/>
      <c r="P21" s="67">
        <f t="shared" si="5"/>
      </c>
      <c r="Q21" s="67"/>
      <c r="R21" s="69">
        <f t="shared" si="6"/>
      </c>
      <c r="S21" s="61"/>
      <c r="T21" s="57"/>
      <c r="U21" s="61">
        <f>U18</f>
        <v>5</v>
      </c>
      <c r="V21" s="61">
        <f>V18</f>
        <v>40</v>
      </c>
      <c r="W21" s="70">
        <f>W19</f>
        <v>308.87780297297314</v>
      </c>
      <c r="X21" s="70">
        <f>W21</f>
        <v>308.87780297297314</v>
      </c>
      <c r="Y21" s="71">
        <f t="shared" si="7"/>
        <v>80.86153392681103</v>
      </c>
      <c r="Z21" s="69">
        <f t="shared" si="8"/>
        <v>110.89429314606622</v>
      </c>
      <c r="AA21" s="67">
        <f t="shared" si="9"/>
        <v>1.4306298994232294</v>
      </c>
      <c r="AB21" s="70">
        <f t="shared" si="10"/>
        <v>14.568868195406553</v>
      </c>
      <c r="AC21" s="69">
        <f t="shared" si="11"/>
        <v>71.09844936000358</v>
      </c>
      <c r="AD21" s="73">
        <f t="shared" si="12"/>
        <v>0.6622158772321841</v>
      </c>
    </row>
    <row r="22" spans="1:30" s="18" customFormat="1" ht="12.75" customHeight="1">
      <c r="A22" s="26"/>
      <c r="B22" s="74"/>
      <c r="C22" s="61"/>
      <c r="D22" s="64"/>
      <c r="E22" s="65">
        <f>IF(AND(C22&lt;&gt;0,D22&lt;&gt;0),D22/C22*1000,"")</f>
      </c>
      <c r="F22" s="58"/>
      <c r="G22" s="65">
        <f t="shared" si="13"/>
      </c>
      <c r="H22" s="66">
        <f t="shared" si="1"/>
      </c>
      <c r="I22" s="67">
        <f t="shared" si="2"/>
      </c>
      <c r="J22" s="57"/>
      <c r="K22" s="61"/>
      <c r="L22" s="67">
        <f t="shared" si="3"/>
      </c>
      <c r="M22" s="69">
        <f t="shared" si="4"/>
      </c>
      <c r="N22" s="67"/>
      <c r="O22" s="68"/>
      <c r="P22" s="67">
        <f t="shared" si="5"/>
      </c>
      <c r="Q22" s="67"/>
      <c r="R22" s="69">
        <f t="shared" si="6"/>
      </c>
      <c r="S22" s="61"/>
      <c r="T22" s="57"/>
      <c r="U22" s="61">
        <f>IF(T22&lt;&gt;"",T22/100*$U$10,"")</f>
      </c>
      <c r="V22" s="61"/>
      <c r="W22" s="70">
        <f aca="true" t="shared" si="14" ref="W22:W38">IF(R22&lt;&gt;"",R22+U22+V22,"")</f>
      </c>
      <c r="X22" s="70">
        <f aca="true" t="shared" si="15" ref="X22:X38">IF(R22&lt;&gt;"",IF(AND(W22&lt;&gt;"",R22+U22+V22&gt;W22),W22,R22+U22+V22),"")</f>
      </c>
      <c r="Y22" s="71">
        <f t="shared" si="7"/>
      </c>
      <c r="Z22" s="69">
        <f t="shared" si="8"/>
      </c>
      <c r="AA22" s="65">
        <f t="shared" si="9"/>
      </c>
      <c r="AB22" s="72">
        <f t="shared" si="10"/>
      </c>
      <c r="AC22" s="69">
        <f t="shared" si="11"/>
      </c>
      <c r="AD22" s="73">
        <f t="shared" si="12"/>
      </c>
    </row>
    <row r="23" spans="1:30" s="18" customFormat="1" ht="12.75" customHeight="1">
      <c r="A23" s="26"/>
      <c r="B23" s="63">
        <v>2</v>
      </c>
      <c r="C23" s="61">
        <v>300</v>
      </c>
      <c r="D23" s="64"/>
      <c r="E23" s="65">
        <v>2</v>
      </c>
      <c r="F23" s="58">
        <v>878</v>
      </c>
      <c r="G23" s="65">
        <f t="shared" si="13"/>
        <v>1.4645825554921115</v>
      </c>
      <c r="H23" s="66">
        <f t="shared" si="1"/>
        <v>886.7327938222502</v>
      </c>
      <c r="I23" s="65">
        <f t="shared" si="2"/>
        <v>3.413942069192515</v>
      </c>
      <c r="J23" s="75">
        <v>2</v>
      </c>
      <c r="K23" s="65">
        <f>I23</f>
        <v>3.413942069192515</v>
      </c>
      <c r="L23" s="65">
        <f t="shared" si="3"/>
        <v>8.413942069192515</v>
      </c>
      <c r="M23" s="76">
        <f t="shared" si="4"/>
        <v>264.5250967058123</v>
      </c>
      <c r="N23" s="67">
        <v>4</v>
      </c>
      <c r="O23" s="68">
        <v>0.6</v>
      </c>
      <c r="P23" s="65">
        <f t="shared" si="5"/>
        <v>2.4</v>
      </c>
      <c r="Q23" s="65">
        <f>P23</f>
        <v>2.4</v>
      </c>
      <c r="R23" s="76">
        <f t="shared" si="6"/>
        <v>634.8602320939495</v>
      </c>
      <c r="S23" s="56">
        <v>1000</v>
      </c>
      <c r="T23" s="60">
        <f>S23</f>
        <v>1000</v>
      </c>
      <c r="U23" s="56">
        <f>IF(T23&lt;&gt;"",T23/100*$U$10,"")</f>
        <v>10</v>
      </c>
      <c r="V23" s="61">
        <v>40</v>
      </c>
      <c r="W23" s="72">
        <f t="shared" si="14"/>
        <v>684.8602320939495</v>
      </c>
      <c r="X23" s="70">
        <f t="shared" si="15"/>
        <v>684.8602320939495</v>
      </c>
      <c r="Y23" s="71">
        <f t="shared" si="7"/>
        <v>77.23411571843063</v>
      </c>
      <c r="Z23" s="69">
        <f t="shared" si="8"/>
        <v>110.08470261231213</v>
      </c>
      <c r="AA23" s="65">
        <f t="shared" si="9"/>
        <v>1.6122813507252922</v>
      </c>
      <c r="AB23" s="72">
        <f t="shared" si="10"/>
        <v>7.30075972540058</v>
      </c>
      <c r="AC23" s="69">
        <f t="shared" si="11"/>
        <v>58.491574454853826</v>
      </c>
      <c r="AD23" s="73">
        <f t="shared" si="12"/>
        <v>0.5907426468381409</v>
      </c>
    </row>
    <row r="24" spans="1:30" s="18" customFormat="1" ht="12.75" customHeight="1">
      <c r="A24" s="26"/>
      <c r="B24" s="74"/>
      <c r="C24" s="61"/>
      <c r="D24" s="64"/>
      <c r="E24" s="65">
        <f>IF(AND(C24&lt;&gt;0,D24&lt;&gt;0),D24/C24*1000,"")</f>
      </c>
      <c r="F24" s="58"/>
      <c r="G24" s="65">
        <f t="shared" si="13"/>
      </c>
      <c r="H24" s="66">
        <f t="shared" si="1"/>
      </c>
      <c r="I24" s="65">
        <f t="shared" si="2"/>
      </c>
      <c r="J24" s="60"/>
      <c r="K24" s="56"/>
      <c r="L24" s="65">
        <f t="shared" si="3"/>
      </c>
      <c r="M24" s="76">
        <f t="shared" si="4"/>
      </c>
      <c r="N24" s="67"/>
      <c r="O24" s="68"/>
      <c r="P24" s="65">
        <f t="shared" si="5"/>
      </c>
      <c r="Q24" s="65"/>
      <c r="R24" s="76">
        <f t="shared" si="6"/>
      </c>
      <c r="S24" s="56"/>
      <c r="T24" s="60"/>
      <c r="U24" s="56">
        <f>IF(T24&lt;&gt;"",T24/100*$U$10,"")</f>
      </c>
      <c r="V24" s="61"/>
      <c r="W24" s="72">
        <f t="shared" si="14"/>
      </c>
      <c r="X24" s="70">
        <f t="shared" si="15"/>
      </c>
      <c r="Y24" s="71">
        <f t="shared" si="7"/>
      </c>
      <c r="Z24" s="69">
        <f t="shared" si="8"/>
      </c>
      <c r="AA24" s="65">
        <f t="shared" si="9"/>
      </c>
      <c r="AB24" s="72">
        <f t="shared" si="10"/>
      </c>
      <c r="AC24" s="69">
        <f t="shared" si="11"/>
      </c>
      <c r="AD24" s="73">
        <f t="shared" si="12"/>
      </c>
    </row>
    <row r="25" spans="2:30" s="18" customFormat="1" ht="12.75" customHeight="1">
      <c r="B25" s="55">
        <v>1.2</v>
      </c>
      <c r="C25" s="56">
        <v>300</v>
      </c>
      <c r="D25" s="64"/>
      <c r="E25" s="65">
        <v>1</v>
      </c>
      <c r="F25" s="58">
        <v>877</v>
      </c>
      <c r="G25" s="65">
        <f t="shared" si="13"/>
        <v>1.0348297623344889</v>
      </c>
      <c r="H25" s="66">
        <f>IF(AND(G25&lt;&gt;0,G25&lt;&gt;""),(G25*PI()*(F25/2/1000)^2)*1000,"")</f>
        <v>625.1122057633829</v>
      </c>
      <c r="I25" s="65">
        <f>IF(AND(H25&lt;&gt;0,H25&lt;&gt;""),C25/G25/60,"")</f>
        <v>4.831712598524825</v>
      </c>
      <c r="J25" s="75">
        <v>1</v>
      </c>
      <c r="K25" s="65">
        <f>I25+I20+I18</f>
        <v>23.188985694351903</v>
      </c>
      <c r="L25" s="65">
        <f t="shared" si="3"/>
        <v>28.188985694351903</v>
      </c>
      <c r="M25" s="76">
        <f>IF(K25&lt;&gt;"",$E$7/($E$8+L25),"")</f>
        <v>134.36517261392115</v>
      </c>
      <c r="N25" s="67">
        <v>2</v>
      </c>
      <c r="O25" s="68">
        <v>0.4</v>
      </c>
      <c r="P25" s="65">
        <f t="shared" si="5"/>
        <v>0.8</v>
      </c>
      <c r="Q25" s="65">
        <f>P25+Q23+Q19</f>
        <v>4.800000000000001</v>
      </c>
      <c r="R25" s="76">
        <f>IF(Q25&lt;&gt;"",Q25*M25,"")</f>
        <v>644.9528285468216</v>
      </c>
      <c r="S25" s="56">
        <v>1000</v>
      </c>
      <c r="T25" s="56">
        <f>S25+S23+S19</f>
        <v>2500</v>
      </c>
      <c r="U25" s="56">
        <f>IF(T25&lt;&gt;"",T25/100*$U$10,"")</f>
        <v>25</v>
      </c>
      <c r="V25" s="61">
        <f>V23+V19+20</f>
        <v>100</v>
      </c>
      <c r="W25" s="72">
        <f>IF(R25&lt;&gt;"",R25+U25+V25,"")</f>
        <v>769.9528285468216</v>
      </c>
      <c r="X25" s="70">
        <f>IF(R25&lt;&gt;"",IF(AND(W25&lt;&gt;"",R25+U25+V25&gt;W25),W25,R25+U25+V25),"")</f>
        <v>769.9528285468216</v>
      </c>
      <c r="Y25" s="71">
        <f>IF(X25&lt;&gt;"",X25/H25*100,"")</f>
        <v>123.17033989226947</v>
      </c>
      <c r="Z25" s="69">
        <f t="shared" si="8"/>
      </c>
      <c r="AA25" s="65">
        <f>IF(Z25&lt;&gt;"",Z25*G25/100,"")</f>
      </c>
      <c r="AB25" s="72">
        <f>IF(AND(AA25&lt;&gt;"",OR(U25&lt;&gt;"",V25&lt;&gt;"")),(U25+V25)/X25*100,"")</f>
      </c>
      <c r="AC25" s="69">
        <f t="shared" si="11"/>
      </c>
      <c r="AD25" s="73">
        <f>IF(AB25&lt;&gt;"",IF(AB25&gt;=10,(0.5202*((AB25/100))^3-1.5002*(AB25/100)^2+1.6193*(AB25/100)+0.5053)*((X25/1000)/(1.12*PI()*((F25/1000)/2)^2)),(1.2856*(AB25/100)^0.3009)*((X25/1000)/(1.12*PI()*((F25/1000)/2)^2))),"")</f>
      </c>
    </row>
    <row r="26" spans="2:30" s="18" customFormat="1" ht="12.75" customHeight="1">
      <c r="B26" s="55"/>
      <c r="C26" s="56">
        <v>300</v>
      </c>
      <c r="D26" s="64"/>
      <c r="E26" s="65">
        <v>1</v>
      </c>
      <c r="F26" s="58">
        <v>975</v>
      </c>
      <c r="G26" s="65">
        <f t="shared" si="13"/>
        <v>1.1105520693275335</v>
      </c>
      <c r="H26" s="66">
        <f t="shared" si="1"/>
        <v>829.1594187989808</v>
      </c>
      <c r="I26" s="65">
        <f t="shared" si="2"/>
        <v>4.502265258960458</v>
      </c>
      <c r="J26" s="75">
        <v>1</v>
      </c>
      <c r="K26" s="65">
        <f>I26+I20+I18</f>
        <v>22.85953835478754</v>
      </c>
      <c r="L26" s="65">
        <f t="shared" si="3"/>
        <v>27.85953835478754</v>
      </c>
      <c r="M26" s="76">
        <f t="shared" si="4"/>
        <v>135.47572859311364</v>
      </c>
      <c r="N26" s="67">
        <v>2</v>
      </c>
      <c r="O26" s="68">
        <v>0.4</v>
      </c>
      <c r="P26" s="65">
        <f t="shared" si="5"/>
        <v>0.8</v>
      </c>
      <c r="Q26" s="65">
        <f>Q25</f>
        <v>4.800000000000001</v>
      </c>
      <c r="R26" s="76">
        <f t="shared" si="6"/>
        <v>650.2834972469456</v>
      </c>
      <c r="S26" s="56">
        <f>S25</f>
        <v>1000</v>
      </c>
      <c r="T26" s="56">
        <f>T25</f>
        <v>2500</v>
      </c>
      <c r="U26" s="56">
        <f>IF(T26&lt;&gt;"",T26/100*$U$10,"")</f>
        <v>25</v>
      </c>
      <c r="V26" s="61">
        <f>V23+V19+20</f>
        <v>100</v>
      </c>
      <c r="W26" s="72">
        <f t="shared" si="14"/>
        <v>775.2834972469456</v>
      </c>
      <c r="X26" s="70">
        <f t="shared" si="15"/>
        <v>775.2834972469456</v>
      </c>
      <c r="Y26" s="71">
        <f t="shared" si="7"/>
        <v>93.50234462389955</v>
      </c>
      <c r="Z26" s="69">
        <f t="shared" si="8"/>
        <v>113.32238629150781</v>
      </c>
      <c r="AA26" s="65">
        <f t="shared" si="9"/>
        <v>1.258504105971681</v>
      </c>
      <c r="AB26" s="72">
        <f t="shared" si="10"/>
        <v>16.123134368766866</v>
      </c>
      <c r="AC26" s="69">
        <f t="shared" si="11"/>
        <v>72.95689081694861</v>
      </c>
      <c r="AD26" s="73">
        <f t="shared" si="12"/>
        <v>0.6764047158367914</v>
      </c>
    </row>
    <row r="27" spans="2:30" s="18" customFormat="1" ht="12.75" customHeight="1">
      <c r="B27" s="55"/>
      <c r="C27" s="56"/>
      <c r="D27" s="64"/>
      <c r="E27" s="65"/>
      <c r="F27" s="58"/>
      <c r="G27" s="65"/>
      <c r="H27" s="66"/>
      <c r="I27" s="65"/>
      <c r="J27" s="75"/>
      <c r="K27" s="65"/>
      <c r="L27" s="65"/>
      <c r="M27" s="76"/>
      <c r="N27" s="67"/>
      <c r="O27" s="68"/>
      <c r="P27" s="65"/>
      <c r="Q27" s="65"/>
      <c r="R27" s="76"/>
      <c r="S27" s="56"/>
      <c r="T27" s="56"/>
      <c r="U27" s="56"/>
      <c r="V27" s="61"/>
      <c r="W27" s="72"/>
      <c r="X27" s="70"/>
      <c r="Y27" s="71"/>
      <c r="Z27" s="69"/>
      <c r="AA27" s="65"/>
      <c r="AB27" s="72"/>
      <c r="AC27" s="69"/>
      <c r="AD27" s="73"/>
    </row>
    <row r="28" spans="2:30" s="18" customFormat="1" ht="12.75" customHeight="1">
      <c r="B28" s="15" t="s">
        <v>110</v>
      </c>
      <c r="C28" s="56"/>
      <c r="D28" s="64"/>
      <c r="E28" s="65"/>
      <c r="F28" s="58"/>
      <c r="G28" s="65"/>
      <c r="H28" s="66"/>
      <c r="I28" s="65"/>
      <c r="J28" s="75"/>
      <c r="K28" s="65"/>
      <c r="L28" s="65"/>
      <c r="M28" s="76"/>
      <c r="N28" s="67"/>
      <c r="O28" s="68"/>
      <c r="P28" s="65"/>
      <c r="Q28" s="65"/>
      <c r="R28" s="76"/>
      <c r="S28" s="56"/>
      <c r="T28" s="56"/>
      <c r="U28" s="56"/>
      <c r="V28" s="61"/>
      <c r="W28" s="72"/>
      <c r="X28" s="70"/>
      <c r="Y28" s="71"/>
      <c r="Z28" s="69"/>
      <c r="AA28" s="65"/>
      <c r="AB28" s="72"/>
      <c r="AC28" s="69"/>
      <c r="AD28" s="73"/>
    </row>
    <row r="29" spans="2:30" s="18" customFormat="1" ht="12.75" customHeight="1">
      <c r="B29" s="15" t="s">
        <v>111</v>
      </c>
      <c r="C29" s="56"/>
      <c r="D29" s="64"/>
      <c r="E29" s="65"/>
      <c r="F29" s="58"/>
      <c r="G29" s="65"/>
      <c r="H29" s="66"/>
      <c r="I29" s="65"/>
      <c r="J29" s="75"/>
      <c r="K29" s="65"/>
      <c r="L29" s="65"/>
      <c r="M29" s="76"/>
      <c r="N29" s="67"/>
      <c r="O29" s="68"/>
      <c r="P29" s="65"/>
      <c r="Q29" s="65"/>
      <c r="R29" s="76"/>
      <c r="S29" s="56"/>
      <c r="T29" s="56"/>
      <c r="U29" s="56"/>
      <c r="V29" s="61"/>
      <c r="W29" s="72"/>
      <c r="X29" s="70"/>
      <c r="Y29" s="71"/>
      <c r="Z29" s="69"/>
      <c r="AA29" s="65"/>
      <c r="AB29" s="72"/>
      <c r="AC29" s="69"/>
      <c r="AD29" s="73"/>
    </row>
    <row r="30" spans="2:30" s="18" customFormat="1" ht="12.75" customHeight="1">
      <c r="B30" s="55">
        <v>1.2</v>
      </c>
      <c r="C30" s="56">
        <v>300</v>
      </c>
      <c r="D30" s="64"/>
      <c r="E30" s="65">
        <v>1</v>
      </c>
      <c r="F30" s="58">
        <v>975</v>
      </c>
      <c r="G30" s="65">
        <f>IF(AND(E30&lt;&gt;0,F30&lt;&gt;0),$E$10*(F30/4/1000)^(2/3)*(E30/1000)^0.5,"")</f>
        <v>1.1105520693275335</v>
      </c>
      <c r="H30" s="66">
        <f>IF(AND(G30&lt;&gt;0,G30&lt;&gt;""),(G30*PI()*(F30/2/1000)^2)*1000,"")</f>
        <v>829.1594187989808</v>
      </c>
      <c r="I30" s="65">
        <f>IF(AND(H30&lt;&gt;0,H30&lt;&gt;""),C30/G30/60,"")</f>
        <v>4.502265258960458</v>
      </c>
      <c r="J30" s="75">
        <v>1.2</v>
      </c>
      <c r="K30" s="65">
        <f>I30</f>
        <v>4.502265258960458</v>
      </c>
      <c r="L30" s="65">
        <f>IF(K30&lt;&gt;"",K30+$E$9,"")</f>
        <v>9.502265258960458</v>
      </c>
      <c r="M30" s="76">
        <f>IF(K30&lt;&gt;"",$E$7/($E$8+L30),"")</f>
        <v>251.1363307523938</v>
      </c>
      <c r="N30" s="67">
        <v>2</v>
      </c>
      <c r="O30" s="68">
        <v>0.4</v>
      </c>
      <c r="P30" s="65">
        <f>IF(AND(N30&lt;&gt;"",O30&lt;&gt;""),N30*O30,"")</f>
        <v>0.8</v>
      </c>
      <c r="Q30" s="65">
        <f>P30</f>
        <v>0.8</v>
      </c>
      <c r="R30" s="76">
        <f>IF(Q30&lt;&gt;"",Q30*M30,"")</f>
        <v>200.90906460191505</v>
      </c>
      <c r="S30" s="56">
        <f>S26</f>
        <v>1000</v>
      </c>
      <c r="T30" s="56">
        <f>T26</f>
        <v>2500</v>
      </c>
      <c r="U30" s="56">
        <f>IF(T30&lt;&gt;"",T30/100*$U$10,"")</f>
        <v>25</v>
      </c>
      <c r="V30" s="61">
        <f>V26</f>
        <v>100</v>
      </c>
      <c r="W30" s="72">
        <f>IF(R30&lt;&gt;"",R30+U30+V30,"")</f>
        <v>325.909064601915</v>
      </c>
      <c r="X30" s="70">
        <f>IF(R30&lt;&gt;"",IF(AND(W30&lt;&gt;"",R30+U30+V30&gt;W30),W30,R30+U30+V30),"")</f>
        <v>325.909064601915</v>
      </c>
      <c r="Y30" s="71">
        <f>IF(X30&lt;&gt;"",X30/H30*100,"")</f>
        <v>39.30595941055426</v>
      </c>
      <c r="Z30" s="69">
        <f>IF(Y30&gt;100,"",IF(Y30&gt;=10,(0.5202*(Y30/100)^3-1.5*(Y30/100)^2+1.6193*(Y30/100)+0.5053)*100,(1.2856*(Y30/100)^0.3009)*100))</f>
        <v>94.16273376197202</v>
      </c>
      <c r="AA30" s="65">
        <f>IF(Z30&lt;&gt;"",Z30*G30/100,"")</f>
        <v>1.0457261883289564</v>
      </c>
      <c r="AB30" s="72">
        <f>IF(AND(AA30&lt;&gt;"",OR(U30&lt;&gt;"",V30&lt;&gt;"")),(U30+V30)/X30*100,"")</f>
        <v>38.354256931356765</v>
      </c>
      <c r="AC30" s="69">
        <f>IF(AB30&gt;100,"",IF(AB30&gt;=10,(0.5202*(AB30/100)^3-1.5*(AB30/100)^2+1.6193*(AB30/100)+0.5053)*100,(1.2856*(AB30/100)^0.3009)*100))</f>
        <v>93.5063328946581</v>
      </c>
      <c r="AD30" s="73">
        <f>IF(AB30&lt;&gt;"",IF(AB30&gt;=10,(0.5202*((AB30/100))^3-1.5002*(AB30/100)^2+1.6193*(AB30/100)+0.5053)*((X30/1000)/(1.12*PI()*((F30/1000)/2)^2)),(1.2856*(AB30/100)^0.3009)*((X30/1000)/(1.12*PI()*((F30/1000)/2)^2))),"")</f>
        <v>0.36442374322472865</v>
      </c>
    </row>
    <row r="31" spans="2:30" s="18" customFormat="1" ht="12.75" customHeight="1">
      <c r="B31" s="2"/>
      <c r="C31" s="56">
        <f>C30</f>
        <v>300</v>
      </c>
      <c r="D31" s="64"/>
      <c r="E31" s="65">
        <v>1</v>
      </c>
      <c r="F31" s="58">
        <v>975</v>
      </c>
      <c r="G31" s="65">
        <f>IF(AND(E31&lt;&gt;0,F31&lt;&gt;0),$E$10*(F31/4/1000)^(2/3)*(E31/1000)^0.5,"")</f>
        <v>1.1105520693275335</v>
      </c>
      <c r="H31" s="66">
        <f>IF(AND(G31&lt;&gt;0,G31&lt;&gt;""),(G31*PI()*(F31/2/1000)^2)*1000,"")</f>
        <v>829.1594187989808</v>
      </c>
      <c r="I31" s="65">
        <f>IF(AND(H31&lt;&gt;0,H31&lt;&gt;""),C31/G31/60,"")</f>
        <v>4.502265258960458</v>
      </c>
      <c r="J31" s="75">
        <v>2</v>
      </c>
      <c r="K31" s="65">
        <f>I31+K23</f>
        <v>7.916207328152973</v>
      </c>
      <c r="L31" s="65">
        <f>IF(K31&lt;&gt;"",K31+$E$9,"")</f>
        <v>12.916207328152973</v>
      </c>
      <c r="M31" s="76">
        <f>IF(K31&lt;&gt;"",$E$7/($E$8+L31),"")</f>
        <v>216.7264033759467</v>
      </c>
      <c r="N31" s="67">
        <v>2</v>
      </c>
      <c r="O31" s="68">
        <v>0.4</v>
      </c>
      <c r="P31" s="65">
        <f>IF(AND(N31&lt;&gt;"",O31&lt;&gt;""),N31*O31,"")</f>
        <v>0.8</v>
      </c>
      <c r="Q31" s="65">
        <f>Q30+Q23</f>
        <v>3.2</v>
      </c>
      <c r="R31" s="76">
        <f>IF(Q31&lt;&gt;"",Q31*M31,"")</f>
        <v>693.5244908030295</v>
      </c>
      <c r="S31" s="56">
        <f>S30</f>
        <v>1000</v>
      </c>
      <c r="T31" s="56">
        <f>T30</f>
        <v>2500</v>
      </c>
      <c r="U31" s="56">
        <f>IF(T31&lt;&gt;"",T31/100*$U$10,"")</f>
        <v>25</v>
      </c>
      <c r="V31" s="61">
        <f>V30</f>
        <v>100</v>
      </c>
      <c r="W31" s="72">
        <f>IF(R31&lt;&gt;"",R31+U31+V31,"")</f>
        <v>818.5244908030295</v>
      </c>
      <c r="X31" s="70">
        <f>IF(R31&lt;&gt;"",IF(AND(W31&lt;&gt;"",R31+U31+V31&gt;W31),W31,R31+U31+V31),"")</f>
        <v>818.5244908030295</v>
      </c>
      <c r="Y31" s="71">
        <f>IF(X31&lt;&gt;"",X31/H31*100,"")</f>
        <v>98.71738440704735</v>
      </c>
      <c r="Z31" s="69">
        <f>IF(Y31&gt;100,"",IF(Y31&gt;=10,(0.5202*(Y31/100)^3-1.5*(Y31/100)^2+1.6193*(Y31/100)+0.5053)*100,(1.2856*(Y31/100)^0.3009)*100))</f>
        <v>114.25014462310781</v>
      </c>
      <c r="AA31" s="65">
        <f>IF(Z31&lt;&gt;"",Z31*G31/100,"")</f>
        <v>1.2688073453216235</v>
      </c>
      <c r="AB31" s="72">
        <f>IF(AND(AA31&lt;&gt;"",OR(U31&lt;&gt;"",V31&lt;&gt;"")),(U31+V31)/X31*100,"")</f>
        <v>15.271381785701523</v>
      </c>
      <c r="AC31" s="69">
        <f>IF(AB31&gt;100,"",IF(AB31&gt;=10,(0.5202*(AB31/100)^3-1.5*(AB31/100)^2+1.6193*(AB31/100)+0.5053)*100,(1.2856*(AB31/100)^0.3009)*100))</f>
        <v>71.9459921077349</v>
      </c>
      <c r="AD31" s="73">
        <f>IF(AB31&lt;&gt;"",IF(AB31&gt;=10,(0.5202*((AB31/100))^3-1.5002*(AB31/100)^2+1.6193*(AB31/100)+0.5053)*((X31/1000)/(1.12*PI()*((F31/1000)/2)^2)),(1.2856*(AB31/100)^0.3009)*((X31/1000)/(1.12*PI()*((F31/1000)/2)^2))),"")</f>
        <v>0.7042361799093559</v>
      </c>
    </row>
    <row r="32" spans="2:30" s="18" customFormat="1" ht="12.75" customHeight="1">
      <c r="B32" s="55"/>
      <c r="C32" s="56"/>
      <c r="D32" s="64"/>
      <c r="E32" s="65"/>
      <c r="F32" s="58"/>
      <c r="G32" s="65"/>
      <c r="H32" s="66"/>
      <c r="I32" s="65"/>
      <c r="J32" s="75"/>
      <c r="K32" s="65"/>
      <c r="L32" s="65"/>
      <c r="M32" s="76"/>
      <c r="N32" s="67"/>
      <c r="O32" s="68"/>
      <c r="P32" s="65"/>
      <c r="Q32" s="65"/>
      <c r="R32" s="76"/>
      <c r="S32" s="56"/>
      <c r="T32" s="56"/>
      <c r="U32" s="56"/>
      <c r="V32" s="61"/>
      <c r="W32" s="72"/>
      <c r="X32" s="70"/>
      <c r="Y32" s="71"/>
      <c r="Z32" s="69"/>
      <c r="AA32" s="65"/>
      <c r="AB32" s="72"/>
      <c r="AC32" s="69"/>
      <c r="AD32" s="73"/>
    </row>
    <row r="33" spans="2:30" s="18" customFormat="1" ht="12.75" customHeight="1">
      <c r="B33" s="55"/>
      <c r="C33" s="56"/>
      <c r="D33" s="64"/>
      <c r="E33" s="65"/>
      <c r="F33" s="58"/>
      <c r="G33" s="65"/>
      <c r="H33" s="66"/>
      <c r="I33" s="65"/>
      <c r="J33" s="75"/>
      <c r="K33" s="65"/>
      <c r="L33" s="65"/>
      <c r="M33" s="76"/>
      <c r="N33" s="67"/>
      <c r="O33" s="68"/>
      <c r="P33" s="65"/>
      <c r="Q33" s="65"/>
      <c r="R33" s="76"/>
      <c r="S33" s="56"/>
      <c r="T33" s="56"/>
      <c r="U33" s="56"/>
      <c r="V33" s="61"/>
      <c r="W33" s="72"/>
      <c r="X33" s="70"/>
      <c r="Y33" s="71"/>
      <c r="Z33" s="69"/>
      <c r="AA33" s="65"/>
      <c r="AB33" s="72"/>
      <c r="AC33" s="69"/>
      <c r="AD33" s="73"/>
    </row>
    <row r="34" spans="2:30" s="18" customFormat="1" ht="12.75" customHeight="1">
      <c r="B34" s="55"/>
      <c r="C34" s="56"/>
      <c r="D34" s="64"/>
      <c r="E34" s="65"/>
      <c r="F34" s="58"/>
      <c r="G34" s="65"/>
      <c r="H34" s="66"/>
      <c r="I34" s="65"/>
      <c r="J34" s="75"/>
      <c r="K34" s="65"/>
      <c r="L34" s="65"/>
      <c r="M34" s="76"/>
      <c r="N34" s="67"/>
      <c r="O34" s="68"/>
      <c r="P34" s="65"/>
      <c r="Q34" s="65"/>
      <c r="R34" s="76"/>
      <c r="S34" s="56"/>
      <c r="T34" s="56"/>
      <c r="U34" s="56"/>
      <c r="V34" s="61"/>
      <c r="W34" s="72"/>
      <c r="X34" s="70"/>
      <c r="Y34" s="71"/>
      <c r="Z34" s="69"/>
      <c r="AA34" s="65"/>
      <c r="AB34" s="72"/>
      <c r="AC34" s="69"/>
      <c r="AD34" s="73"/>
    </row>
    <row r="35" spans="2:30" s="18" customFormat="1" ht="12.75" customHeight="1">
      <c r="B35" s="55"/>
      <c r="C35" s="56"/>
      <c r="D35" s="77"/>
      <c r="E35" s="65"/>
      <c r="F35" s="58"/>
      <c r="G35" s="65">
        <f>IF(AND(E35&lt;&gt;0,F35&lt;&gt;0),$E$10*(F35/4/1000)^(2/3)*(E35/1000)^0.5,"")</f>
      </c>
      <c r="H35" s="66">
        <f t="shared" si="1"/>
      </c>
      <c r="I35" s="65">
        <f t="shared" si="2"/>
      </c>
      <c r="J35" s="75"/>
      <c r="K35" s="65"/>
      <c r="L35" s="65">
        <f t="shared" si="3"/>
      </c>
      <c r="M35" s="76">
        <f t="shared" si="4"/>
      </c>
      <c r="N35" s="65"/>
      <c r="O35" s="75"/>
      <c r="P35" s="65">
        <f t="shared" si="5"/>
      </c>
      <c r="Q35" s="65"/>
      <c r="R35" s="76">
        <f t="shared" si="6"/>
      </c>
      <c r="S35" s="56"/>
      <c r="T35" s="56"/>
      <c r="U35" s="56">
        <f>IF(T35&lt;&gt;"",T35/100*$U$10,"")</f>
      </c>
      <c r="V35" s="56"/>
      <c r="W35" s="72">
        <f t="shared" si="14"/>
      </c>
      <c r="X35" s="70">
        <f t="shared" si="15"/>
      </c>
      <c r="Y35" s="71">
        <f t="shared" si="7"/>
      </c>
      <c r="Z35" s="69">
        <f t="shared" si="8"/>
      </c>
      <c r="AA35" s="65">
        <f t="shared" si="9"/>
      </c>
      <c r="AB35" s="72">
        <f t="shared" si="10"/>
      </c>
      <c r="AC35" s="69">
        <f t="shared" si="11"/>
      </c>
      <c r="AD35" s="73">
        <f t="shared" si="12"/>
      </c>
    </row>
    <row r="36" spans="2:30" s="18" customFormat="1" ht="12.75" customHeight="1">
      <c r="B36" s="55"/>
      <c r="C36" s="56"/>
      <c r="D36" s="77"/>
      <c r="E36" s="65"/>
      <c r="F36" s="58"/>
      <c r="G36" s="65">
        <f>IF(AND(E36&lt;&gt;0,F36&lt;&gt;0),$E$10*(F36/4/1000)^(2/3)*(E36/1000)^0.5,"")</f>
      </c>
      <c r="H36" s="66">
        <f t="shared" si="1"/>
      </c>
      <c r="I36" s="65">
        <f t="shared" si="2"/>
      </c>
      <c r="J36" s="75"/>
      <c r="K36" s="65"/>
      <c r="L36" s="65">
        <f t="shared" si="3"/>
      </c>
      <c r="M36" s="76">
        <f t="shared" si="4"/>
      </c>
      <c r="N36" s="65"/>
      <c r="O36" s="75"/>
      <c r="P36" s="65">
        <f t="shared" si="5"/>
      </c>
      <c r="Q36" s="65"/>
      <c r="R36" s="76">
        <f t="shared" si="6"/>
      </c>
      <c r="S36" s="56"/>
      <c r="T36" s="56"/>
      <c r="U36" s="56">
        <f>IF(T36&lt;&gt;"",T36/100*$U$10,"")</f>
      </c>
      <c r="V36" s="56"/>
      <c r="W36" s="72">
        <f t="shared" si="14"/>
      </c>
      <c r="X36" s="70">
        <f t="shared" si="15"/>
      </c>
      <c r="Y36" s="71">
        <f t="shared" si="7"/>
      </c>
      <c r="Z36" s="69">
        <f t="shared" si="8"/>
      </c>
      <c r="AA36" s="65">
        <f t="shared" si="9"/>
      </c>
      <c r="AB36" s="72">
        <f t="shared" si="10"/>
      </c>
      <c r="AC36" s="69">
        <f t="shared" si="11"/>
      </c>
      <c r="AD36" s="73">
        <f t="shared" si="12"/>
      </c>
    </row>
    <row r="37" spans="2:30" s="18" customFormat="1" ht="12.75" customHeight="1">
      <c r="B37" s="55"/>
      <c r="C37" s="56"/>
      <c r="D37" s="77"/>
      <c r="E37" s="65"/>
      <c r="F37" s="58"/>
      <c r="G37" s="65">
        <f>IF(AND(E37&lt;&gt;0,F37&lt;&gt;0),$E$10*(F37/4/1000)^(2/3)*(E37/1000)^0.5,"")</f>
      </c>
      <c r="H37" s="66">
        <f t="shared" si="1"/>
      </c>
      <c r="I37" s="65">
        <f t="shared" si="2"/>
      </c>
      <c r="J37" s="75"/>
      <c r="K37" s="65"/>
      <c r="L37" s="65">
        <f t="shared" si="3"/>
      </c>
      <c r="M37" s="76">
        <f t="shared" si="4"/>
      </c>
      <c r="N37" s="65"/>
      <c r="O37" s="75"/>
      <c r="P37" s="65">
        <f t="shared" si="5"/>
      </c>
      <c r="Q37" s="65"/>
      <c r="R37" s="76">
        <f t="shared" si="6"/>
      </c>
      <c r="S37" s="56"/>
      <c r="T37" s="56"/>
      <c r="U37" s="56">
        <f>IF(T37&lt;&gt;"",T37/100*$U$10,"")</f>
      </c>
      <c r="V37" s="56"/>
      <c r="W37" s="72">
        <f t="shared" si="14"/>
      </c>
      <c r="X37" s="70">
        <f t="shared" si="15"/>
      </c>
      <c r="Y37" s="71">
        <f t="shared" si="7"/>
      </c>
      <c r="Z37" s="69">
        <f t="shared" si="8"/>
      </c>
      <c r="AA37" s="65">
        <f t="shared" si="9"/>
      </c>
      <c r="AB37" s="72">
        <f t="shared" si="10"/>
      </c>
      <c r="AC37" s="69">
        <f t="shared" si="11"/>
      </c>
      <c r="AD37" s="73">
        <f t="shared" si="12"/>
      </c>
    </row>
    <row r="38" spans="2:30" s="18" customFormat="1" ht="12.75" customHeight="1">
      <c r="B38" s="55"/>
      <c r="C38" s="56"/>
      <c r="D38" s="77"/>
      <c r="E38" s="65"/>
      <c r="F38" s="58"/>
      <c r="G38" s="65">
        <f>IF(AND(E38&lt;&gt;0,F38&lt;&gt;0),$E$10*(F38/4/1000)^(2/3)*(E38/1000)^0.5,"")</f>
      </c>
      <c r="H38" s="66">
        <f t="shared" si="1"/>
      </c>
      <c r="I38" s="65">
        <f t="shared" si="2"/>
      </c>
      <c r="J38" s="75"/>
      <c r="K38" s="65"/>
      <c r="L38" s="65">
        <f t="shared" si="3"/>
      </c>
      <c r="M38" s="76">
        <f t="shared" si="4"/>
      </c>
      <c r="N38" s="65"/>
      <c r="O38" s="75"/>
      <c r="P38" s="65">
        <f t="shared" si="5"/>
      </c>
      <c r="Q38" s="65"/>
      <c r="R38" s="76">
        <f t="shared" si="6"/>
      </c>
      <c r="S38" s="56"/>
      <c r="T38" s="56"/>
      <c r="U38" s="56">
        <f>IF(T38&lt;&gt;"",T38/100*$U$10,"")</f>
      </c>
      <c r="V38" s="56"/>
      <c r="W38" s="72">
        <f t="shared" si="14"/>
      </c>
      <c r="X38" s="70">
        <f t="shared" si="15"/>
      </c>
      <c r="Y38" s="71">
        <f t="shared" si="7"/>
      </c>
      <c r="Z38" s="69">
        <f t="shared" si="8"/>
      </c>
      <c r="AA38" s="65">
        <f t="shared" si="9"/>
      </c>
      <c r="AB38" s="72">
        <f t="shared" si="10"/>
      </c>
      <c r="AC38" s="69">
        <f t="shared" si="11"/>
      </c>
      <c r="AD38" s="73">
        <f t="shared" si="12"/>
      </c>
    </row>
    <row r="39" ht="12.75">
      <c r="AD39" s="13"/>
    </row>
  </sheetData>
  <printOptions horizontalCentered="1" verticalCentered="1"/>
  <pageMargins left="0.31" right="0.33" top="0.54" bottom="0.51" header="0.23" footer="0.5118110236220472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Benoît Hingray</cp:lastModifiedBy>
  <cp:lastPrinted>2002-03-19T14:28:30Z</cp:lastPrinted>
  <dcterms:created xsi:type="dcterms:W3CDTF">2001-02-13T20:27:06Z</dcterms:created>
  <dcterms:modified xsi:type="dcterms:W3CDTF">2002-03-19T14:29:06Z</dcterms:modified>
  <cp:category/>
  <cp:version/>
  <cp:contentType/>
  <cp:contentStatus/>
</cp:coreProperties>
</file>